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19440" windowHeight="11160" firstSheet="1" activeTab="3"/>
  </bookViews>
  <sheets>
    <sheet name="Plan1" sheetId="7" state="hidden" r:id="rId1"/>
    <sheet name="Trigo Industria" sheetId="9" r:id="rId2"/>
    <sheet name="Milho Industria" sheetId="8" r:id="rId3"/>
    <sheet name="Comparativo - Trigo x Milho" sheetId="10" r:id="rId4"/>
  </sheets>
  <definedNames>
    <definedName name="_xlnm.Print_Area" localSheetId="3">'Comparativo - Trigo x Milho'!$A$1:$V$42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2" i="10" l="1"/>
  <c r="G21" i="10"/>
  <c r="G20" i="10"/>
  <c r="G19" i="10"/>
  <c r="C20" i="10"/>
  <c r="C21" i="10"/>
  <c r="C22" i="10"/>
  <c r="C19" i="10"/>
  <c r="H33" i="9" l="1"/>
  <c r="J64" i="9" l="1"/>
  <c r="G64" i="9"/>
  <c r="J63" i="9"/>
  <c r="G63" i="9"/>
  <c r="J62" i="9"/>
  <c r="G62" i="9"/>
  <c r="J61" i="9"/>
  <c r="G61" i="9"/>
  <c r="L58" i="9"/>
  <c r="L57" i="9"/>
  <c r="L56" i="9"/>
  <c r="L55" i="9"/>
  <c r="L53" i="9"/>
  <c r="L52" i="9"/>
  <c r="L51" i="9"/>
  <c r="L50" i="9"/>
  <c r="L48" i="9"/>
  <c r="L47" i="9"/>
  <c r="L46" i="9"/>
  <c r="L45" i="9"/>
  <c r="L43" i="9"/>
  <c r="L42" i="9"/>
  <c r="L41" i="9"/>
  <c r="L40" i="9"/>
  <c r="L38" i="9"/>
  <c r="L37" i="9"/>
  <c r="L36" i="9"/>
  <c r="L35" i="9"/>
  <c r="L33" i="9"/>
  <c r="L32" i="9"/>
  <c r="L31" i="9"/>
  <c r="L30" i="9"/>
  <c r="L28" i="9"/>
  <c r="L27" i="9"/>
  <c r="L26" i="9"/>
  <c r="L25" i="9"/>
  <c r="L23" i="9"/>
  <c r="L22" i="9"/>
  <c r="L21" i="9"/>
  <c r="L20" i="9"/>
  <c r="L18" i="9"/>
  <c r="L17" i="9"/>
  <c r="L16" i="9"/>
  <c r="L15" i="9"/>
  <c r="L22" i="8"/>
  <c r="L17" i="8"/>
  <c r="P22" i="9" l="1"/>
  <c r="D11" i="10" s="1"/>
  <c r="P21" i="9"/>
  <c r="D10" i="10" s="1"/>
  <c r="P19" i="9"/>
  <c r="D9" i="10" s="1"/>
  <c r="P23" i="9"/>
  <c r="D12" i="10" s="1"/>
  <c r="P24" i="9"/>
  <c r="D13" i="10" s="1"/>
  <c r="P18" i="9"/>
  <c r="D8" i="10" s="1"/>
  <c r="P17" i="9"/>
  <c r="D7" i="10" s="1"/>
  <c r="P16" i="9"/>
  <c r="D6" i="10" s="1"/>
  <c r="P15" i="9"/>
  <c r="D5" i="10" s="1"/>
  <c r="J61" i="8"/>
  <c r="L23" i="8"/>
  <c r="L21" i="8"/>
  <c r="L20" i="8"/>
  <c r="D15" i="10" l="1"/>
  <c r="P27" i="9"/>
  <c r="P16" i="8"/>
  <c r="H6" i="10" s="1"/>
  <c r="J64" i="8"/>
  <c r="J63" i="8"/>
  <c r="J62" i="8"/>
  <c r="G62" i="8"/>
  <c r="G63" i="8"/>
  <c r="G64" i="8"/>
  <c r="G61" i="8"/>
  <c r="L58" i="8"/>
  <c r="L57" i="8"/>
  <c r="L56" i="8"/>
  <c r="L55" i="8"/>
  <c r="L53" i="8"/>
  <c r="L52" i="8"/>
  <c r="L51" i="8"/>
  <c r="L50" i="8"/>
  <c r="L48" i="8"/>
  <c r="L47" i="8"/>
  <c r="L46" i="8"/>
  <c r="L45" i="8"/>
  <c r="L43" i="8"/>
  <c r="L42" i="8"/>
  <c r="L41" i="8"/>
  <c r="L40" i="8"/>
  <c r="L38" i="8"/>
  <c r="L37" i="8"/>
  <c r="L36" i="8"/>
  <c r="L35" i="8"/>
  <c r="L33" i="8"/>
  <c r="L32" i="8"/>
  <c r="L31" i="8"/>
  <c r="L30" i="8"/>
  <c r="L28" i="8"/>
  <c r="L27" i="8"/>
  <c r="L26" i="8"/>
  <c r="L25" i="8"/>
  <c r="L16" i="8"/>
  <c r="L18" i="8"/>
  <c r="L15" i="8"/>
  <c r="P18" i="8" l="1"/>
  <c r="H8" i="10" s="1"/>
  <c r="L61" i="9"/>
  <c r="D19" i="10" s="1"/>
  <c r="L63" i="9"/>
  <c r="D21" i="10" s="1"/>
  <c r="L64" i="9"/>
  <c r="D22" i="10" s="1"/>
  <c r="L62" i="9"/>
  <c r="D20" i="10" s="1"/>
  <c r="P23" i="8"/>
  <c r="H12" i="10" s="1"/>
  <c r="P22" i="8"/>
  <c r="H11" i="10" s="1"/>
  <c r="P21" i="8"/>
  <c r="H10" i="10" s="1"/>
  <c r="P19" i="8"/>
  <c r="H9" i="10" s="1"/>
  <c r="P17" i="8"/>
  <c r="H7" i="10" s="1"/>
  <c r="P24" i="8"/>
  <c r="H13" i="10" s="1"/>
  <c r="P15" i="8"/>
  <c r="H5" i="10" s="1"/>
  <c r="AB9" i="7"/>
  <c r="AB10" i="7"/>
  <c r="AB11" i="7"/>
  <c r="AB13" i="7"/>
  <c r="AB14" i="7"/>
  <c r="AB6" i="7"/>
  <c r="AB7" i="7" s="1"/>
  <c r="AB8" i="7"/>
  <c r="AB12" i="7" l="1"/>
  <c r="H15" i="10"/>
  <c r="P27" i="8"/>
  <c r="N23" i="7"/>
  <c r="L62" i="8" l="1"/>
  <c r="H20" i="10" s="1"/>
  <c r="L63" i="8"/>
  <c r="H21" i="10" s="1"/>
  <c r="L64" i="8"/>
  <c r="H22" i="10" s="1"/>
  <c r="L61" i="8"/>
  <c r="H19" i="10" s="1"/>
  <c r="Q17" i="7"/>
  <c r="R15" i="7"/>
  <c r="R14" i="7"/>
  <c r="U14" i="7" s="1"/>
  <c r="U17" i="7"/>
  <c r="R16" i="7"/>
  <c r="U16" i="7"/>
  <c r="U15" i="7"/>
  <c r="U13" i="7"/>
  <c r="U8" i="7"/>
  <c r="R7" i="7"/>
  <c r="U7" i="7" s="1"/>
  <c r="R8" i="7"/>
  <c r="R9" i="7"/>
  <c r="U9" i="7" s="1"/>
  <c r="R10" i="7"/>
  <c r="U10" i="7" s="1"/>
  <c r="R11" i="7"/>
  <c r="U11" i="7" s="1"/>
  <c r="R12" i="7"/>
  <c r="U12" i="7" s="1"/>
  <c r="R13" i="7"/>
  <c r="R6" i="7"/>
  <c r="O7" i="7"/>
  <c r="O8" i="7"/>
  <c r="O9" i="7"/>
  <c r="O10" i="7"/>
  <c r="O11" i="7"/>
  <c r="O12" i="7"/>
  <c r="O13" i="7"/>
  <c r="O15" i="7"/>
  <c r="O16" i="7"/>
  <c r="O6" i="7"/>
  <c r="R25" i="7"/>
  <c r="Q25" i="7"/>
  <c r="N25" i="7"/>
  <c r="M25" i="7"/>
  <c r="R24" i="7"/>
  <c r="Q24" i="7"/>
  <c r="N24" i="7"/>
  <c r="M24" i="7"/>
  <c r="R23" i="7"/>
  <c r="Q23" i="7"/>
  <c r="M23" i="7"/>
  <c r="G24" i="7"/>
  <c r="G25" i="7"/>
  <c r="F24" i="7"/>
  <c r="I29" i="7" s="1"/>
  <c r="F25" i="7"/>
  <c r="I30" i="7" s="1"/>
  <c r="F23" i="7"/>
  <c r="I28" i="7" s="1"/>
  <c r="B24" i="7"/>
  <c r="B29" i="7" s="1"/>
  <c r="B25" i="7"/>
  <c r="B30" i="7" s="1"/>
  <c r="B23" i="7"/>
  <c r="B28" i="7" s="1"/>
  <c r="G23" i="7"/>
  <c r="J23" i="7" s="1"/>
  <c r="C25" i="7"/>
  <c r="C24" i="7"/>
  <c r="C23" i="7"/>
  <c r="D23" i="7" s="1"/>
  <c r="D24" i="7" l="1"/>
  <c r="R18" i="7"/>
  <c r="O18" i="7"/>
  <c r="O24" i="7" s="1"/>
  <c r="U6" i="7"/>
  <c r="U18" i="7" s="1"/>
  <c r="D25" i="7"/>
  <c r="J28" i="7"/>
  <c r="J25" i="7"/>
  <c r="H25" i="7"/>
  <c r="F30" i="7"/>
  <c r="J24" i="7"/>
  <c r="H24" i="7"/>
  <c r="H29" i="7" s="1"/>
  <c r="F29" i="7"/>
  <c r="H23" i="7"/>
  <c r="H28" i="7" s="1"/>
  <c r="F28" i="7"/>
  <c r="J29" i="7" l="1"/>
  <c r="U19" i="7"/>
  <c r="U25" i="7"/>
  <c r="U23" i="7"/>
  <c r="T30" i="7"/>
  <c r="T28" i="7"/>
  <c r="U24" i="7"/>
  <c r="T29" i="7"/>
  <c r="U20" i="7"/>
  <c r="R19" i="7"/>
  <c r="M30" i="7"/>
  <c r="O25" i="7"/>
  <c r="S24" i="7"/>
  <c r="S25" i="7"/>
  <c r="M28" i="7"/>
  <c r="O23" i="7"/>
  <c r="M29" i="7"/>
  <c r="Q28" i="7"/>
  <c r="Q30" i="7"/>
  <c r="Q29" i="7"/>
  <c r="S23" i="7"/>
  <c r="J30" i="7"/>
  <c r="H30" i="7"/>
  <c r="S28" i="7" l="1"/>
  <c r="U28" i="7"/>
  <c r="U29" i="7"/>
  <c r="U30" i="7"/>
  <c r="S29" i="7"/>
  <c r="S30" i="7"/>
</calcChain>
</file>

<file path=xl/sharedStrings.xml><?xml version="1.0" encoding="utf-8"?>
<sst xmlns="http://schemas.openxmlformats.org/spreadsheetml/2006/main" count="320" uniqueCount="156">
  <si>
    <t>Trigo</t>
  </si>
  <si>
    <t>Comparação de custos na produção  trigo / milho 2ª safra</t>
  </si>
  <si>
    <t>kg</t>
  </si>
  <si>
    <r>
      <t>Milho</t>
    </r>
    <r>
      <rPr>
        <sz val="11"/>
        <color rgb="FF000000"/>
        <rFont val="Calibri"/>
        <family val="2"/>
      </rPr>
      <t xml:space="preserve"> 2ª safra</t>
    </r>
  </si>
  <si>
    <t>(normal)</t>
  </si>
  <si>
    <t>Trigo RBO</t>
  </si>
  <si>
    <t>Prêço</t>
  </si>
  <si>
    <t>R$</t>
  </si>
  <si>
    <t>Roundup dessecação</t>
  </si>
  <si>
    <t>Adubo</t>
  </si>
  <si>
    <t>Semente tratada</t>
  </si>
  <si>
    <t>Cobertura</t>
  </si>
  <si>
    <t>Herbicidas</t>
  </si>
  <si>
    <t>Inseticida Percev/ outr</t>
  </si>
  <si>
    <t>Fungicida</t>
  </si>
  <si>
    <t>Plantio</t>
  </si>
  <si>
    <t>Aplicação defensivos</t>
  </si>
  <si>
    <t>MO</t>
  </si>
  <si>
    <t>Colheita</t>
  </si>
  <si>
    <t>Soma:</t>
  </si>
  <si>
    <t>Rendimentos</t>
  </si>
  <si>
    <t>Prêço milho:</t>
  </si>
  <si>
    <t>Prêço trigo:</t>
  </si>
  <si>
    <t>sc/há</t>
  </si>
  <si>
    <t>frete</t>
  </si>
  <si>
    <t>Receit/há</t>
  </si>
  <si>
    <t>Sobras</t>
  </si>
  <si>
    <t>Rec/há</t>
  </si>
  <si>
    <t>RBO</t>
  </si>
  <si>
    <t>Custo do frete / sc   =</t>
  </si>
  <si>
    <t>Custo /sc</t>
  </si>
  <si>
    <t xml:space="preserve">Custo </t>
  </si>
  <si>
    <t>relativo milho</t>
  </si>
  <si>
    <t xml:space="preserve">Para aumentar  os rendimentos em cada categoria se aumentou a adubação em 40 e 80 Kg/há a um custo de </t>
  </si>
  <si>
    <t>R$ 48,00 e R$ 96,00.</t>
  </si>
  <si>
    <r>
      <t xml:space="preserve">O custo do adubo ainda foi calculado com vantagem para o milho, porque esse </t>
    </r>
    <r>
      <rPr>
        <b/>
        <sz val="11"/>
        <color rgb="FF000000"/>
        <rFont val="Calibri"/>
        <family val="2"/>
      </rPr>
      <t>retira</t>
    </r>
    <r>
      <rPr>
        <sz val="11"/>
        <color rgb="FF000000"/>
        <rFont val="Calibri"/>
        <family val="2"/>
      </rPr>
      <t xml:space="preserve"> bem mais do </t>
    </r>
  </si>
  <si>
    <t>N</t>
  </si>
  <si>
    <t>P2O5</t>
  </si>
  <si>
    <t>K2O</t>
  </si>
  <si>
    <t>S</t>
  </si>
  <si>
    <t>Teor no grão milho</t>
  </si>
  <si>
    <t>Milho 100sc / há</t>
  </si>
  <si>
    <t>retira Kg/há</t>
  </si>
  <si>
    <t>Teor no grão trigo</t>
  </si>
  <si>
    <t>Trigo 45 sc / há</t>
  </si>
  <si>
    <t>que o trigo como mostra a tabela em baixo</t>
  </si>
  <si>
    <t>R$ 56,00 e R$ 112,00.</t>
  </si>
  <si>
    <t xml:space="preserve">Custo/sc </t>
  </si>
  <si>
    <t>=</t>
  </si>
  <si>
    <t>milho</t>
  </si>
  <si>
    <t>tr normal</t>
  </si>
  <si>
    <t>Comparação de custos na produção milho 2ª safra / trigo /há</t>
  </si>
  <si>
    <r>
      <t xml:space="preserve">A relação de Custos obriga trigo a ser </t>
    </r>
    <r>
      <rPr>
        <b/>
        <sz val="11"/>
        <color theme="1"/>
        <rFont val="Calibri"/>
        <family val="2"/>
        <scheme val="minor"/>
      </rPr>
      <t>1,4</t>
    </r>
    <r>
      <rPr>
        <sz val="11"/>
        <color theme="1"/>
        <rFont val="Calibri"/>
        <family val="2"/>
        <scheme val="minor"/>
      </rPr>
      <t xml:space="preserve"> vezes mais caro que milho 2ª safra, para dra o mesmo retorno.</t>
    </r>
  </si>
  <si>
    <t>sobra rel milho</t>
  </si>
  <si>
    <t>sobr/milho</t>
  </si>
  <si>
    <t>Trigo 50 sc / há</t>
  </si>
  <si>
    <t>relativo a</t>
  </si>
  <si>
    <t>no geral trigo retira 55% dos nutrientes que o milho retira com os grãos, por isso necessita maior adubação</t>
  </si>
  <si>
    <t>O princípio é de repor no mínimo os nutrientes retirados pelos grãos colhidos na área</t>
  </si>
  <si>
    <t>Custos</t>
  </si>
  <si>
    <t>Custos milho 2ª safra</t>
  </si>
  <si>
    <t>Dessecação</t>
  </si>
  <si>
    <t>Roundup</t>
  </si>
  <si>
    <t>Adubação</t>
  </si>
  <si>
    <t>Semente</t>
  </si>
  <si>
    <t>tratamento</t>
  </si>
  <si>
    <t>Adubo cobertura</t>
  </si>
  <si>
    <t>Kg/Lt</t>
  </si>
  <si>
    <t>Preço R$</t>
  </si>
  <si>
    <t>Total R$</t>
  </si>
  <si>
    <t>Cultura.:</t>
  </si>
  <si>
    <t>Custos.:</t>
  </si>
  <si>
    <t>Roudup Transorb</t>
  </si>
  <si>
    <t>U-46 Prime</t>
  </si>
  <si>
    <t>Aurora</t>
  </si>
  <si>
    <t>Gramocil</t>
  </si>
  <si>
    <t>Adubo 16-16-16</t>
  </si>
  <si>
    <t>Uréia 45-00-00</t>
  </si>
  <si>
    <t>Sulfato de Amônia</t>
  </si>
  <si>
    <t>Maxim</t>
  </si>
  <si>
    <t>Imidacloprid</t>
  </si>
  <si>
    <t>Standak</t>
  </si>
  <si>
    <t>CropStar</t>
  </si>
  <si>
    <t>Inseticida</t>
  </si>
  <si>
    <t>Engeo Pleno</t>
  </si>
  <si>
    <t>Nomolt</t>
  </si>
  <si>
    <t>Talstar</t>
  </si>
  <si>
    <t>Ampligo</t>
  </si>
  <si>
    <t>Tilt</t>
  </si>
  <si>
    <t>Priori Xtra</t>
  </si>
  <si>
    <t>Aplicação</t>
  </si>
  <si>
    <t>Foliares</t>
  </si>
  <si>
    <t>Super N</t>
  </si>
  <si>
    <t>Supa Moly CO/MO</t>
  </si>
  <si>
    <t>Booster</t>
  </si>
  <si>
    <t>Agri K</t>
  </si>
  <si>
    <t>Adubo 12-15-15</t>
  </si>
  <si>
    <t>Callisto</t>
  </si>
  <si>
    <t>Sanson 40 SC</t>
  </si>
  <si>
    <t>Serviços</t>
  </si>
  <si>
    <t>Mão-de-Obra</t>
  </si>
  <si>
    <t>Frete</t>
  </si>
  <si>
    <t>Combustível</t>
  </si>
  <si>
    <t>C</t>
  </si>
  <si>
    <t>TS</t>
  </si>
  <si>
    <t>Receita/ há</t>
  </si>
  <si>
    <t>Preço Milho.:</t>
  </si>
  <si>
    <t>Frete R$</t>
  </si>
  <si>
    <t>SOBRA</t>
  </si>
  <si>
    <t xml:space="preserve">Comparação de Custos na Produção </t>
  </si>
  <si>
    <t>Herbicida Pós Emergência</t>
  </si>
  <si>
    <t>Milho Safrinha Safra 2018/2019</t>
  </si>
  <si>
    <t xml:space="preserve">   Adubação</t>
  </si>
  <si>
    <t xml:space="preserve">  Dessecação</t>
  </si>
  <si>
    <t xml:space="preserve">   Sementes</t>
  </si>
  <si>
    <t>Sementes</t>
  </si>
  <si>
    <t>Inseticidas</t>
  </si>
  <si>
    <t>Fungicidas</t>
  </si>
  <si>
    <t>Tratamento de Sementes</t>
  </si>
  <si>
    <t>TOTAL</t>
  </si>
  <si>
    <t xml:space="preserve">   Serviços</t>
  </si>
  <si>
    <t>Herbicida Pós-emergente</t>
  </si>
  <si>
    <t>DKB 330 PRO2</t>
  </si>
  <si>
    <t>STATUS VIP3</t>
  </si>
  <si>
    <t>Orkestra</t>
  </si>
  <si>
    <t>AG9050 PRO3</t>
  </si>
  <si>
    <t>RBO 303</t>
  </si>
  <si>
    <t>RBO 2P1</t>
  </si>
  <si>
    <t>Preço Trigo.:</t>
  </si>
  <si>
    <t>Trigo Industria Safra 2018/2019</t>
  </si>
  <si>
    <t>Cultura do Trigo Industria</t>
  </si>
  <si>
    <t>Cultura do Milho Safrinha</t>
  </si>
  <si>
    <t>Vitavax Tiram</t>
  </si>
  <si>
    <t>Topik</t>
  </si>
  <si>
    <t>Basagran</t>
  </si>
  <si>
    <t>2,4D amina</t>
  </si>
  <si>
    <t>Ally</t>
  </si>
  <si>
    <t>Engeo Pleno S</t>
  </si>
  <si>
    <t>Certero</t>
  </si>
  <si>
    <t>Talcord 250</t>
  </si>
  <si>
    <t>Mancozebe</t>
  </si>
  <si>
    <t>Nativo</t>
  </si>
  <si>
    <t>Roundup WG</t>
  </si>
  <si>
    <t>Sacas/Alq. - (Esperada)</t>
  </si>
  <si>
    <t>Sobra - Planejado/Alq.</t>
  </si>
  <si>
    <t>Trigo Industria</t>
  </si>
  <si>
    <t>Milho Industria</t>
  </si>
  <si>
    <t>Bold</t>
  </si>
  <si>
    <t>Dow 2K433 PW</t>
  </si>
  <si>
    <t>Aproch</t>
  </si>
  <si>
    <t>Total do Custo - Planejado/Alq</t>
  </si>
  <si>
    <t>RBO 2B5</t>
  </si>
  <si>
    <t>RBO 3B6</t>
  </si>
  <si>
    <t>Caramba</t>
  </si>
  <si>
    <t>Spectro</t>
  </si>
  <si>
    <t>Atrasina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</si>
</sst>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0.0"/>
    <numFmt numFmtId="165" formatCode="0.0%"/>
    <numFmt numFmtId="166" formatCode="#,##0\ &quot;Sacas&quot;"/>
    <numFmt numFmtId="167" formatCode="#,##0.0\ &quot;Sacas&quot;"/>
    <numFmt numFmtId="168" formatCode="#,##0.00\ &quot;ha&quot;"/>
    <numFmt numFmtId="169" formatCode="#,##0.00\ &quot;Sc&quot;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sz val="11"/>
      <color rgb="FFFF0000"/>
      <name val="Calibri"/>
      <family val="2"/>
    </font>
    <font>
      <sz val="10.5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b/>
      <sz val="10.5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i/>
      <sz val="10.5"/>
      <color theme="1"/>
      <name val="Calibri"/>
      <family val="2"/>
      <scheme val="minor"/>
    </font>
    <font>
      <b/>
      <i/>
      <sz val="10.5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.5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0.79998168889431442"/>
        <bgColor indexed="64"/>
      </patternFill>
    </fill>
  </fills>
  <borders count="5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0">
    <xf numFmtId="0" fontId="0" fillId="0" borderId="0" xfId="0"/>
    <xf numFmtId="0" fontId="0" fillId="2" borderId="0" xfId="0" applyFill="1"/>
    <xf numFmtId="0" fontId="4" fillId="2" borderId="9" xfId="0" applyFont="1" applyFill="1" applyBorder="1"/>
    <xf numFmtId="0" fontId="4" fillId="2" borderId="10" xfId="0" applyFont="1" applyFill="1" applyBorder="1" applyAlignment="1">
      <alignment horizontal="center"/>
    </xf>
    <xf numFmtId="0" fontId="5" fillId="2" borderId="5" xfId="0" applyFont="1" applyFill="1" applyBorder="1"/>
    <xf numFmtId="0" fontId="4" fillId="2" borderId="8" xfId="0" applyFont="1" applyFill="1" applyBorder="1"/>
    <xf numFmtId="0" fontId="4" fillId="2" borderId="7" xfId="0" applyFont="1" applyFill="1" applyBorder="1"/>
    <xf numFmtId="0" fontId="4" fillId="2" borderId="2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12" xfId="0" applyFont="1" applyFill="1" applyBorder="1"/>
    <xf numFmtId="0" fontId="4" fillId="2" borderId="12" xfId="0" applyFont="1" applyFill="1" applyBorder="1" applyAlignment="1">
      <alignment horizontal="center"/>
    </xf>
    <xf numFmtId="0" fontId="4" fillId="2" borderId="6" xfId="0" applyFont="1" applyFill="1" applyBorder="1"/>
    <xf numFmtId="0" fontId="4" fillId="2" borderId="0" xfId="0" applyFont="1" applyFill="1" applyAlignment="1">
      <alignment horizontal="right"/>
    </xf>
    <xf numFmtId="0" fontId="4" fillId="2" borderId="1" xfId="0" applyFont="1" applyFill="1" applyBorder="1" applyAlignment="1">
      <alignment horizontal="right"/>
    </xf>
    <xf numFmtId="2" fontId="0" fillId="2" borderId="0" xfId="0" applyNumberForma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right"/>
    </xf>
    <xf numFmtId="164" fontId="4" fillId="2" borderId="3" xfId="0" applyNumberFormat="1" applyFont="1" applyFill="1" applyBorder="1" applyAlignment="1">
      <alignment horizontal="right"/>
    </xf>
    <xf numFmtId="2" fontId="4" fillId="2" borderId="2" xfId="0" applyNumberFormat="1" applyFont="1" applyFill="1" applyBorder="1" applyAlignment="1">
      <alignment horizontal="right"/>
    </xf>
    <xf numFmtId="0" fontId="0" fillId="2" borderId="0" xfId="0" quotePrefix="1" applyFill="1" applyAlignment="1">
      <alignment horizontal="right"/>
    </xf>
    <xf numFmtId="9" fontId="4" fillId="2" borderId="1" xfId="1" applyFont="1" applyFill="1" applyBorder="1" applyAlignment="1">
      <alignment horizontal="right"/>
    </xf>
    <xf numFmtId="165" fontId="0" fillId="2" borderId="0" xfId="1" applyNumberFormat="1" applyFont="1" applyFill="1"/>
    <xf numFmtId="2" fontId="5" fillId="2" borderId="10" xfId="0" applyNumberFormat="1" applyFont="1" applyFill="1" applyBorder="1" applyAlignment="1">
      <alignment horizontal="right"/>
    </xf>
    <xf numFmtId="2" fontId="5" fillId="2" borderId="12" xfId="0" applyNumberFormat="1" applyFont="1" applyFill="1" applyBorder="1" applyAlignment="1">
      <alignment horizontal="right"/>
    </xf>
    <xf numFmtId="0" fontId="4" fillId="2" borderId="10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/>
    <xf numFmtId="0" fontId="5" fillId="2" borderId="8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4" fontId="4" fillId="2" borderId="0" xfId="0" applyNumberFormat="1" applyFont="1" applyFill="1" applyAlignment="1">
      <alignment horizontal="right"/>
    </xf>
    <xf numFmtId="0" fontId="4" fillId="2" borderId="7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164" fontId="4" fillId="2" borderId="2" xfId="0" applyNumberFormat="1" applyFont="1" applyFill="1" applyBorder="1" applyAlignment="1">
      <alignment horizontal="right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right"/>
    </xf>
    <xf numFmtId="0" fontId="4" fillId="2" borderId="17" xfId="0" applyFont="1" applyFill="1" applyBorder="1"/>
    <xf numFmtId="2" fontId="4" fillId="2" borderId="5" xfId="0" applyNumberFormat="1" applyFont="1" applyFill="1" applyBorder="1" applyAlignment="1">
      <alignment horizontal="right"/>
    </xf>
    <xf numFmtId="0" fontId="0" fillId="2" borderId="5" xfId="0" applyFill="1" applyBorder="1"/>
    <xf numFmtId="0" fontId="4" fillId="2" borderId="5" xfId="0" applyFont="1" applyFill="1" applyBorder="1" applyAlignment="1">
      <alignment horizontal="center"/>
    </xf>
    <xf numFmtId="9" fontId="4" fillId="2" borderId="8" xfId="0" applyNumberFormat="1" applyFont="1" applyFill="1" applyBorder="1" applyAlignment="1">
      <alignment horizontal="right"/>
    </xf>
    <xf numFmtId="0" fontId="4" fillId="2" borderId="5" xfId="0" applyFont="1" applyFill="1" applyBorder="1" applyAlignment="1">
      <alignment horizontal="right"/>
    </xf>
    <xf numFmtId="2" fontId="7" fillId="2" borderId="5" xfId="0" applyNumberFormat="1" applyFont="1" applyFill="1" applyBorder="1" applyAlignment="1">
      <alignment horizontal="right"/>
    </xf>
    <xf numFmtId="2" fontId="4" fillId="2" borderId="0" xfId="0" applyNumberFormat="1" applyFont="1" applyFill="1" applyAlignment="1">
      <alignment horizontal="right"/>
    </xf>
    <xf numFmtId="9" fontId="4" fillId="2" borderId="1" xfId="0" applyNumberFormat="1" applyFont="1" applyFill="1" applyBorder="1" applyAlignment="1">
      <alignment horizontal="right"/>
    </xf>
    <xf numFmtId="0" fontId="4" fillId="2" borderId="3" xfId="0" applyFont="1" applyFill="1" applyBorder="1"/>
    <xf numFmtId="9" fontId="4" fillId="2" borderId="3" xfId="0" applyNumberFormat="1" applyFont="1" applyFill="1" applyBorder="1" applyAlignment="1">
      <alignment horizontal="right"/>
    </xf>
    <xf numFmtId="0" fontId="4" fillId="2" borderId="0" xfId="0" applyFont="1" applyFill="1"/>
    <xf numFmtId="0" fontId="4" fillId="2" borderId="4" xfId="0" applyFont="1" applyFill="1" applyBorder="1"/>
    <xf numFmtId="0" fontId="4" fillId="2" borderId="13" xfId="0" applyFont="1" applyFill="1" applyBorder="1"/>
    <xf numFmtId="0" fontId="4" fillId="2" borderId="13" xfId="0" applyFont="1" applyFill="1" applyBorder="1" applyAlignment="1">
      <alignment horizontal="center"/>
    </xf>
    <xf numFmtId="10" fontId="4" fillId="2" borderId="12" xfId="0" applyNumberFormat="1" applyFont="1" applyFill="1" applyBorder="1" applyAlignment="1">
      <alignment horizontal="right"/>
    </xf>
    <xf numFmtId="10" fontId="4" fillId="2" borderId="14" xfId="0" applyNumberFormat="1" applyFont="1" applyFill="1" applyBorder="1" applyAlignment="1">
      <alignment horizontal="right"/>
    </xf>
    <xf numFmtId="0" fontId="4" fillId="2" borderId="15" xfId="0" applyFont="1" applyFill="1" applyBorder="1"/>
    <xf numFmtId="0" fontId="4" fillId="2" borderId="16" xfId="0" applyFont="1" applyFill="1" applyBorder="1" applyAlignment="1">
      <alignment horizontal="center"/>
    </xf>
    <xf numFmtId="10" fontId="4" fillId="2" borderId="2" xfId="0" applyNumberFormat="1" applyFont="1" applyFill="1" applyBorder="1" applyAlignment="1">
      <alignment horizontal="right"/>
    </xf>
    <xf numFmtId="10" fontId="4" fillId="2" borderId="16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justify"/>
    </xf>
    <xf numFmtId="14" fontId="0" fillId="2" borderId="0" xfId="0" applyNumberFormat="1" applyFill="1"/>
    <xf numFmtId="0" fontId="2" fillId="2" borderId="0" xfId="0" applyFont="1" applyFill="1"/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vertical="center" textRotation="90"/>
    </xf>
    <xf numFmtId="0" fontId="8" fillId="2" borderId="0" xfId="0" applyFont="1" applyFill="1"/>
    <xf numFmtId="1" fontId="8" fillId="2" borderId="0" xfId="0" applyNumberFormat="1" applyFont="1" applyFill="1"/>
    <xf numFmtId="0" fontId="9" fillId="2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8" fillId="8" borderId="29" xfId="0" applyFont="1" applyFill="1" applyBorder="1" applyAlignment="1">
      <alignment horizontal="left" vertical="center"/>
    </xf>
    <xf numFmtId="0" fontId="8" fillId="8" borderId="31" xfId="0" applyFont="1" applyFill="1" applyBorder="1" applyAlignment="1">
      <alignment horizontal="left" vertical="center"/>
    </xf>
    <xf numFmtId="166" fontId="0" fillId="2" borderId="0" xfId="0" applyNumberFormat="1" applyFill="1" applyAlignment="1">
      <alignment horizontal="center" vertical="center"/>
    </xf>
    <xf numFmtId="0" fontId="10" fillId="7" borderId="0" xfId="0" applyFont="1" applyFill="1" applyAlignment="1">
      <alignment horizontal="center" vertical="center" wrapText="1"/>
    </xf>
    <xf numFmtId="0" fontId="0" fillId="8" borderId="33" xfId="0" applyFill="1" applyBorder="1"/>
    <xf numFmtId="0" fontId="0" fillId="8" borderId="34" xfId="0" applyFill="1" applyBorder="1"/>
    <xf numFmtId="0" fontId="8" fillId="8" borderId="38" xfId="0" applyFont="1" applyFill="1" applyBorder="1" applyAlignment="1">
      <alignment horizontal="left" vertical="center"/>
    </xf>
    <xf numFmtId="0" fontId="0" fillId="8" borderId="39" xfId="0" applyFill="1" applyBorder="1"/>
    <xf numFmtId="0" fontId="9" fillId="2" borderId="0" xfId="0" applyFont="1" applyFill="1"/>
    <xf numFmtId="0" fontId="10" fillId="2" borderId="0" xfId="0" applyFont="1" applyFill="1" applyAlignment="1">
      <alignment horizontal="center" vertical="center" wrapText="1"/>
    </xf>
    <xf numFmtId="0" fontId="2" fillId="10" borderId="0" xfId="0" applyFont="1" applyFill="1"/>
    <xf numFmtId="0" fontId="8" fillId="2" borderId="0" xfId="0" applyFont="1" applyFill="1" applyAlignment="1">
      <alignment vertical="center"/>
    </xf>
    <xf numFmtId="1" fontId="8" fillId="2" borderId="0" xfId="0" applyNumberFormat="1" applyFont="1" applyFill="1" applyAlignment="1">
      <alignment vertical="center"/>
    </xf>
    <xf numFmtId="0" fontId="8" fillId="6" borderId="18" xfId="0" applyFont="1" applyFill="1" applyBorder="1" applyAlignment="1" applyProtection="1">
      <alignment vertical="center"/>
      <protection locked="0"/>
    </xf>
    <xf numFmtId="0" fontId="8" fillId="6" borderId="19" xfId="0" applyFont="1" applyFill="1" applyBorder="1" applyAlignment="1" applyProtection="1">
      <alignment vertical="center"/>
      <protection locked="0"/>
    </xf>
    <xf numFmtId="4" fontId="8" fillId="6" borderId="19" xfId="0" applyNumberFormat="1" applyFont="1" applyFill="1" applyBorder="1" applyAlignment="1" applyProtection="1">
      <alignment horizontal="center" vertical="center"/>
      <protection locked="0"/>
    </xf>
    <xf numFmtId="1" fontId="8" fillId="6" borderId="19" xfId="0" applyNumberFormat="1" applyFont="1" applyFill="1" applyBorder="1" applyAlignment="1" applyProtection="1">
      <alignment horizontal="center" vertical="center"/>
      <protection locked="0"/>
    </xf>
    <xf numFmtId="44" fontId="8" fillId="6" borderId="19" xfId="0" applyNumberFormat="1" applyFont="1" applyFill="1" applyBorder="1" applyAlignment="1" applyProtection="1">
      <alignment vertical="center"/>
      <protection locked="0"/>
    </xf>
    <xf numFmtId="0" fontId="8" fillId="6" borderId="21" xfId="0" applyFont="1" applyFill="1" applyBorder="1" applyAlignment="1" applyProtection="1">
      <alignment vertical="center"/>
      <protection locked="0"/>
    </xf>
    <xf numFmtId="0" fontId="8" fillId="6" borderId="0" xfId="0" applyFont="1" applyFill="1" applyAlignment="1" applyProtection="1">
      <alignment vertical="center"/>
      <protection locked="0"/>
    </xf>
    <xf numFmtId="4" fontId="8" fillId="6" borderId="0" xfId="0" applyNumberFormat="1" applyFont="1" applyFill="1" applyAlignment="1" applyProtection="1">
      <alignment horizontal="center" vertical="center"/>
      <protection locked="0"/>
    </xf>
    <xf numFmtId="1" fontId="8" fillId="6" borderId="0" xfId="0" applyNumberFormat="1" applyFont="1" applyFill="1" applyAlignment="1" applyProtection="1">
      <alignment horizontal="center" vertical="center"/>
      <protection locked="0"/>
    </xf>
    <xf numFmtId="44" fontId="8" fillId="6" borderId="0" xfId="0" applyNumberFormat="1" applyFont="1" applyFill="1" applyAlignment="1" applyProtection="1">
      <alignment vertical="center"/>
      <protection locked="0"/>
    </xf>
    <xf numFmtId="0" fontId="8" fillId="6" borderId="23" xfId="0" applyFont="1" applyFill="1" applyBorder="1" applyAlignment="1" applyProtection="1">
      <alignment vertical="center"/>
      <protection locked="0"/>
    </xf>
    <xf numFmtId="0" fontId="8" fillId="6" borderId="24" xfId="0" applyFont="1" applyFill="1" applyBorder="1" applyAlignment="1" applyProtection="1">
      <alignment vertical="center"/>
      <protection locked="0"/>
    </xf>
    <xf numFmtId="4" fontId="8" fillId="6" borderId="24" xfId="0" applyNumberFormat="1" applyFont="1" applyFill="1" applyBorder="1" applyAlignment="1" applyProtection="1">
      <alignment horizontal="center" vertical="center"/>
      <protection locked="0"/>
    </xf>
    <xf numFmtId="1" fontId="8" fillId="6" borderId="24" xfId="0" applyNumberFormat="1" applyFont="1" applyFill="1" applyBorder="1" applyAlignment="1" applyProtection="1">
      <alignment horizontal="center" vertical="center"/>
      <protection locked="0"/>
    </xf>
    <xf numFmtId="44" fontId="8" fillId="6" borderId="24" xfId="0" applyNumberFormat="1" applyFont="1" applyFill="1" applyBorder="1" applyAlignment="1" applyProtection="1">
      <alignment vertical="center"/>
      <protection locked="0"/>
    </xf>
    <xf numFmtId="44" fontId="8" fillId="2" borderId="0" xfId="0" applyNumberFormat="1" applyFont="1" applyFill="1"/>
    <xf numFmtId="0" fontId="8" fillId="2" borderId="0" xfId="0" applyFont="1" applyFill="1" applyAlignment="1">
      <alignment horizontal="left" vertical="center"/>
    </xf>
    <xf numFmtId="44" fontId="12" fillId="2" borderId="0" xfId="0" applyNumberFormat="1" applyFont="1" applyFill="1" applyAlignment="1">
      <alignment horizontal="right" vertical="center"/>
    </xf>
    <xf numFmtId="0" fontId="9" fillId="12" borderId="41" xfId="0" applyFont="1" applyFill="1" applyBorder="1" applyAlignment="1">
      <alignment horizontal="left" vertical="center"/>
    </xf>
    <xf numFmtId="0" fontId="2" fillId="12" borderId="42" xfId="0" applyFont="1" applyFill="1" applyBorder="1"/>
    <xf numFmtId="8" fontId="2" fillId="2" borderId="0" xfId="0" applyNumberFormat="1" applyFont="1" applyFill="1" applyAlignment="1" applyProtection="1">
      <alignment horizontal="center" vertical="center"/>
      <protection locked="0"/>
    </xf>
    <xf numFmtId="44" fontId="8" fillId="6" borderId="20" xfId="0" applyNumberFormat="1" applyFont="1" applyFill="1" applyBorder="1" applyAlignment="1" applyProtection="1">
      <alignment vertical="center"/>
      <protection hidden="1"/>
    </xf>
    <xf numFmtId="44" fontId="8" fillId="6" borderId="22" xfId="0" applyNumberFormat="1" applyFont="1" applyFill="1" applyBorder="1" applyAlignment="1" applyProtection="1">
      <alignment vertical="center"/>
      <protection hidden="1"/>
    </xf>
    <xf numFmtId="44" fontId="8" fillId="6" borderId="25" xfId="0" applyNumberFormat="1" applyFont="1" applyFill="1" applyBorder="1" applyAlignment="1" applyProtection="1">
      <alignment vertical="center"/>
      <protection hidden="1"/>
    </xf>
    <xf numFmtId="0" fontId="14" fillId="6" borderId="18" xfId="0" applyFont="1" applyFill="1" applyBorder="1" applyAlignment="1" applyProtection="1">
      <alignment horizontal="left" vertical="center"/>
      <protection hidden="1"/>
    </xf>
    <xf numFmtId="0" fontId="14" fillId="6" borderId="19" xfId="0" applyFont="1" applyFill="1" applyBorder="1" applyAlignment="1" applyProtection="1">
      <alignment horizontal="left" vertical="center"/>
      <protection hidden="1"/>
    </xf>
    <xf numFmtId="0" fontId="14" fillId="6" borderId="19" xfId="0" applyFont="1" applyFill="1" applyBorder="1" applyAlignment="1" applyProtection="1">
      <alignment horizontal="center" vertical="center"/>
      <protection hidden="1"/>
    </xf>
    <xf numFmtId="0" fontId="9" fillId="6" borderId="19" xfId="0" applyFont="1" applyFill="1" applyBorder="1" applyAlignment="1" applyProtection="1">
      <alignment vertical="center"/>
      <protection hidden="1"/>
    </xf>
    <xf numFmtId="0" fontId="14" fillId="6" borderId="20" xfId="0" applyFont="1" applyFill="1" applyBorder="1" applyAlignment="1" applyProtection="1">
      <alignment horizontal="center" vertical="center"/>
      <protection hidden="1"/>
    </xf>
    <xf numFmtId="166" fontId="8" fillId="6" borderId="21" xfId="0" applyNumberFormat="1" applyFont="1" applyFill="1" applyBorder="1" applyAlignment="1" applyProtection="1">
      <alignment horizontal="left" vertical="center"/>
      <protection hidden="1"/>
    </xf>
    <xf numFmtId="0" fontId="8" fillId="6" borderId="0" xfId="0" applyFont="1" applyFill="1" applyAlignment="1" applyProtection="1">
      <alignment vertical="center"/>
      <protection hidden="1"/>
    </xf>
    <xf numFmtId="167" fontId="8" fillId="6" borderId="0" xfId="0" applyNumberFormat="1" applyFont="1" applyFill="1" applyAlignment="1" applyProtection="1">
      <alignment horizontal="center" vertical="center"/>
      <protection hidden="1"/>
    </xf>
    <xf numFmtId="8" fontId="8" fillId="6" borderId="0" xfId="0" applyNumberFormat="1" applyFont="1" applyFill="1" applyAlignment="1" applyProtection="1">
      <alignment vertical="center"/>
      <protection hidden="1"/>
    </xf>
    <xf numFmtId="8" fontId="0" fillId="6" borderId="22" xfId="0" applyNumberFormat="1" applyFill="1" applyBorder="1" applyAlignment="1" applyProtection="1">
      <alignment vertical="center"/>
      <protection hidden="1"/>
    </xf>
    <xf numFmtId="166" fontId="0" fillId="6" borderId="23" xfId="0" applyNumberFormat="1" applyFill="1" applyBorder="1" applyAlignment="1" applyProtection="1">
      <alignment horizontal="left" vertical="center"/>
      <protection hidden="1"/>
    </xf>
    <xf numFmtId="0" fontId="0" fillId="6" borderId="24" xfId="0" applyFill="1" applyBorder="1" applyAlignment="1" applyProtection="1">
      <alignment vertical="center"/>
      <protection hidden="1"/>
    </xf>
    <xf numFmtId="167" fontId="8" fillId="6" borderId="24" xfId="0" applyNumberFormat="1" applyFont="1" applyFill="1" applyBorder="1" applyAlignment="1" applyProtection="1">
      <alignment horizontal="center" vertical="center"/>
      <protection hidden="1"/>
    </xf>
    <xf numFmtId="8" fontId="8" fillId="6" borderId="24" xfId="0" applyNumberFormat="1" applyFont="1" applyFill="1" applyBorder="1" applyAlignment="1" applyProtection="1">
      <alignment vertical="center"/>
      <protection hidden="1"/>
    </xf>
    <xf numFmtId="8" fontId="0" fillId="6" borderId="25" xfId="0" applyNumberFormat="1" applyFill="1" applyBorder="1" applyAlignment="1" applyProtection="1">
      <alignment vertical="center"/>
      <protection hidden="1"/>
    </xf>
    <xf numFmtId="44" fontId="8" fillId="8" borderId="30" xfId="0" applyNumberFormat="1" applyFont="1" applyFill="1" applyBorder="1" applyProtection="1">
      <protection hidden="1"/>
    </xf>
    <xf numFmtId="44" fontId="8" fillId="8" borderId="32" xfId="0" applyNumberFormat="1" applyFont="1" applyFill="1" applyBorder="1" applyProtection="1">
      <protection hidden="1"/>
    </xf>
    <xf numFmtId="44" fontId="8" fillId="8" borderId="40" xfId="0" applyNumberFormat="1" applyFont="1" applyFill="1" applyBorder="1" applyProtection="1">
      <protection hidden="1"/>
    </xf>
    <xf numFmtId="44" fontId="9" fillId="12" borderId="17" xfId="0" applyNumberFormat="1" applyFont="1" applyFill="1" applyBorder="1" applyProtection="1">
      <protection hidden="1"/>
    </xf>
    <xf numFmtId="44" fontId="8" fillId="14" borderId="49" xfId="0" applyNumberFormat="1" applyFont="1" applyFill="1" applyBorder="1" applyProtection="1">
      <protection hidden="1"/>
    </xf>
    <xf numFmtId="44" fontId="8" fillId="14" borderId="50" xfId="0" applyNumberFormat="1" applyFont="1" applyFill="1" applyBorder="1" applyProtection="1">
      <protection hidden="1"/>
    </xf>
    <xf numFmtId="44" fontId="8" fillId="14" borderId="52" xfId="0" applyNumberFormat="1" applyFont="1" applyFill="1" applyBorder="1" applyProtection="1">
      <protection hidden="1"/>
    </xf>
    <xf numFmtId="44" fontId="8" fillId="10" borderId="49" xfId="0" applyNumberFormat="1" applyFont="1" applyFill="1" applyBorder="1" applyProtection="1">
      <protection hidden="1"/>
    </xf>
    <xf numFmtId="44" fontId="8" fillId="10" borderId="50" xfId="0" applyNumberFormat="1" applyFont="1" applyFill="1" applyBorder="1" applyProtection="1">
      <protection hidden="1"/>
    </xf>
    <xf numFmtId="44" fontId="8" fillId="10" borderId="52" xfId="0" applyNumberFormat="1" applyFont="1" applyFill="1" applyBorder="1" applyProtection="1">
      <protection hidden="1"/>
    </xf>
    <xf numFmtId="0" fontId="2" fillId="2" borderId="0" xfId="0" applyFont="1" applyFill="1" applyAlignment="1">
      <alignment vertical="center"/>
    </xf>
    <xf numFmtId="0" fontId="8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vertical="center"/>
      <protection hidden="1"/>
    </xf>
    <xf numFmtId="14" fontId="8" fillId="2" borderId="0" xfId="0" applyNumberFormat="1" applyFont="1" applyFill="1" applyAlignment="1" applyProtection="1">
      <alignment horizontal="left" vertical="center"/>
      <protection locked="0"/>
    </xf>
    <xf numFmtId="0" fontId="8" fillId="2" borderId="0" xfId="0" applyFont="1" applyFill="1" applyProtection="1">
      <protection locked="0"/>
    </xf>
    <xf numFmtId="49" fontId="8" fillId="2" borderId="0" xfId="0" applyNumberFormat="1" applyFont="1" applyFill="1" applyAlignment="1" applyProtection="1">
      <alignment horizontal="left"/>
      <protection locked="0"/>
    </xf>
    <xf numFmtId="0" fontId="9" fillId="2" borderId="0" xfId="0" applyFont="1" applyFill="1" applyAlignment="1" applyProtection="1">
      <alignment vertical="center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44" fontId="15" fillId="3" borderId="0" xfId="0" applyNumberFormat="1" applyFont="1" applyFill="1" applyProtection="1">
      <protection hidden="1"/>
    </xf>
    <xf numFmtId="44" fontId="15" fillId="13" borderId="0" xfId="0" applyNumberFormat="1" applyFont="1" applyFill="1" applyProtection="1">
      <protection hidden="1"/>
    </xf>
    <xf numFmtId="0" fontId="8" fillId="6" borderId="19" xfId="0" applyFont="1" applyFill="1" applyBorder="1" applyAlignment="1" applyProtection="1">
      <alignment vertical="center"/>
      <protection hidden="1"/>
    </xf>
    <xf numFmtId="0" fontId="8" fillId="6" borderId="24" xfId="0" applyFont="1" applyFill="1" applyBorder="1" applyAlignment="1" applyProtection="1">
      <alignment vertical="center"/>
      <protection hidden="1"/>
    </xf>
    <xf numFmtId="0" fontId="8" fillId="2" borderId="0" xfId="0" applyFont="1" applyFill="1" applyAlignment="1" applyProtection="1">
      <alignment vertical="center"/>
      <protection hidden="1"/>
    </xf>
    <xf numFmtId="0" fontId="8" fillId="6" borderId="19" xfId="0" applyFont="1" applyFill="1" applyBorder="1" applyAlignment="1" applyProtection="1">
      <alignment horizontal="center" vertical="center"/>
      <protection hidden="1"/>
    </xf>
    <xf numFmtId="0" fontId="8" fillId="6" borderId="0" xfId="0" applyFont="1" applyFill="1" applyAlignment="1" applyProtection="1">
      <alignment horizontal="center" vertical="center"/>
      <protection hidden="1"/>
    </xf>
    <xf numFmtId="0" fontId="8" fillId="6" borderId="24" xfId="0" applyFont="1" applyFill="1" applyBorder="1" applyAlignment="1" applyProtection="1">
      <alignment horizontal="center" vertical="center"/>
      <protection hidden="1"/>
    </xf>
    <xf numFmtId="2" fontId="8" fillId="6" borderId="24" xfId="0" applyNumberFormat="1" applyFont="1" applyFill="1" applyBorder="1" applyAlignment="1" applyProtection="1">
      <alignment horizontal="center" vertical="center"/>
      <protection locked="0"/>
    </xf>
    <xf numFmtId="164" fontId="8" fillId="6" borderId="19" xfId="0" applyNumberFormat="1" applyFont="1" applyFill="1" applyBorder="1" applyAlignment="1" applyProtection="1">
      <alignment horizontal="center" vertical="center"/>
      <protection locked="0"/>
    </xf>
    <xf numFmtId="164" fontId="8" fillId="6" borderId="0" xfId="0" applyNumberFormat="1" applyFont="1" applyFill="1" applyAlignment="1" applyProtection="1">
      <alignment horizontal="center" vertical="center"/>
      <protection locked="0"/>
    </xf>
    <xf numFmtId="8" fontId="0" fillId="2" borderId="20" xfId="0" applyNumberFormat="1" applyFill="1" applyBorder="1" applyProtection="1">
      <protection hidden="1"/>
    </xf>
    <xf numFmtId="8" fontId="0" fillId="2" borderId="22" xfId="0" applyNumberFormat="1" applyFill="1" applyBorder="1" applyProtection="1">
      <protection hidden="1"/>
    </xf>
    <xf numFmtId="8" fontId="0" fillId="2" borderId="25" xfId="0" applyNumberFormat="1" applyFill="1" applyBorder="1" applyProtection="1">
      <protection hidden="1"/>
    </xf>
    <xf numFmtId="8" fontId="8" fillId="2" borderId="20" xfId="0" applyNumberFormat="1" applyFont="1" applyFill="1" applyBorder="1" applyAlignment="1" applyProtection="1">
      <alignment vertical="center"/>
      <protection hidden="1"/>
    </xf>
    <xf numFmtId="8" fontId="8" fillId="2" borderId="22" xfId="0" applyNumberFormat="1" applyFont="1" applyFill="1" applyBorder="1" applyAlignment="1" applyProtection="1">
      <alignment vertical="center"/>
      <protection hidden="1"/>
    </xf>
    <xf numFmtId="8" fontId="8" fillId="2" borderId="25" xfId="0" applyNumberFormat="1" applyFont="1" applyFill="1" applyBorder="1" applyAlignment="1" applyProtection="1">
      <alignment vertical="center"/>
      <protection hidden="1"/>
    </xf>
    <xf numFmtId="169" fontId="8" fillId="2" borderId="19" xfId="0" applyNumberFormat="1" applyFont="1" applyFill="1" applyBorder="1" applyAlignment="1" applyProtection="1">
      <alignment horizontal="center" vertical="center"/>
      <protection hidden="1"/>
    </xf>
    <xf numFmtId="169" fontId="8" fillId="2" borderId="0" xfId="0" applyNumberFormat="1" applyFont="1" applyFill="1" applyAlignment="1" applyProtection="1">
      <alignment horizontal="center" vertical="center"/>
      <protection hidden="1"/>
    </xf>
    <xf numFmtId="169" fontId="8" fillId="2" borderId="24" xfId="0" applyNumberFormat="1" applyFont="1" applyFill="1" applyBorder="1" applyAlignment="1" applyProtection="1">
      <alignment horizontal="center" vertical="center"/>
      <protection hidden="1"/>
    </xf>
    <xf numFmtId="0" fontId="4" fillId="2" borderId="0" xfId="0" applyFont="1" applyFill="1"/>
    <xf numFmtId="0" fontId="3" fillId="2" borderId="2" xfId="0" applyFont="1" applyFill="1" applyBorder="1"/>
    <xf numFmtId="0" fontId="4" fillId="2" borderId="7" xfId="0" applyFont="1" applyFill="1" applyBorder="1"/>
    <xf numFmtId="0" fontId="4" fillId="2" borderId="15" xfId="0" applyFont="1" applyFill="1" applyBorder="1"/>
    <xf numFmtId="0" fontId="5" fillId="2" borderId="9" xfId="0" applyFont="1" applyFill="1" applyBorder="1"/>
    <xf numFmtId="0" fontId="5" fillId="2" borderId="11" xfId="0" applyFont="1" applyFill="1" applyBorder="1"/>
    <xf numFmtId="0" fontId="4" fillId="2" borderId="12" xfId="0" applyFont="1" applyFill="1" applyBorder="1"/>
    <xf numFmtId="0" fontId="4" fillId="2" borderId="10" xfId="0" applyFont="1" applyFill="1" applyBorder="1"/>
    <xf numFmtId="0" fontId="5" fillId="2" borderId="12" xfId="0" applyFont="1" applyFill="1" applyBorder="1"/>
    <xf numFmtId="0" fontId="9" fillId="2" borderId="0" xfId="0" applyFont="1" applyFill="1" applyAlignment="1" applyProtection="1">
      <alignment horizontal="left" vertical="center"/>
      <protection hidden="1"/>
    </xf>
    <xf numFmtId="0" fontId="2" fillId="2" borderId="0" xfId="0" applyFont="1" applyFill="1" applyAlignment="1">
      <alignment horizontal="left" vertical="center"/>
    </xf>
    <xf numFmtId="0" fontId="8" fillId="2" borderId="0" xfId="0" applyFont="1" applyFill="1" applyAlignment="1" applyProtection="1">
      <alignment horizontal="left" vertical="center"/>
      <protection locked="0"/>
    </xf>
    <xf numFmtId="0" fontId="11" fillId="4" borderId="26" xfId="0" applyFont="1" applyFill="1" applyBorder="1" applyAlignment="1">
      <alignment horizontal="center" vertical="center" textRotation="90"/>
    </xf>
    <xf numFmtId="0" fontId="11" fillId="4" borderId="27" xfId="0" applyFont="1" applyFill="1" applyBorder="1" applyAlignment="1">
      <alignment horizontal="center" vertical="center" textRotation="90"/>
    </xf>
    <xf numFmtId="0" fontId="11" fillId="4" borderId="28" xfId="0" applyFont="1" applyFill="1" applyBorder="1" applyAlignment="1">
      <alignment horizontal="center" vertical="center" textRotation="90"/>
    </xf>
    <xf numFmtId="0" fontId="11" fillId="5" borderId="26" xfId="0" applyFont="1" applyFill="1" applyBorder="1" applyAlignment="1">
      <alignment horizontal="center" vertical="center" textRotation="90" wrapText="1"/>
    </xf>
    <xf numFmtId="0" fontId="11" fillId="5" borderId="27" xfId="0" applyFont="1" applyFill="1" applyBorder="1" applyAlignment="1">
      <alignment horizontal="center" vertical="center" textRotation="90" wrapText="1"/>
    </xf>
    <xf numFmtId="0" fontId="11" fillId="5" borderId="28" xfId="0" applyFont="1" applyFill="1" applyBorder="1" applyAlignment="1">
      <alignment horizontal="center" vertical="center" textRotation="90" wrapText="1"/>
    </xf>
    <xf numFmtId="0" fontId="8" fillId="8" borderId="21" xfId="0" applyFont="1" applyFill="1" applyBorder="1" applyAlignment="1">
      <alignment horizontal="left" vertical="center"/>
    </xf>
    <xf numFmtId="0" fontId="8" fillId="8" borderId="23" xfId="0" applyFont="1" applyFill="1" applyBorder="1" applyAlignment="1">
      <alignment horizontal="left" vertical="center"/>
    </xf>
    <xf numFmtId="0" fontId="0" fillId="8" borderId="0" xfId="0" applyFill="1" applyAlignment="1">
      <alignment horizontal="center"/>
    </xf>
    <xf numFmtId="0" fontId="0" fillId="8" borderId="24" xfId="0" applyFill="1" applyBorder="1" applyAlignment="1">
      <alignment horizontal="center"/>
    </xf>
    <xf numFmtId="44" fontId="8" fillId="8" borderId="22" xfId="0" applyNumberFormat="1" applyFont="1" applyFill="1" applyBorder="1" applyAlignment="1" applyProtection="1">
      <alignment horizontal="center"/>
      <protection hidden="1"/>
    </xf>
    <xf numFmtId="44" fontId="8" fillId="8" borderId="25" xfId="0" applyNumberFormat="1" applyFont="1" applyFill="1" applyBorder="1" applyAlignment="1" applyProtection="1">
      <alignment horizontal="center"/>
      <protection hidden="1"/>
    </xf>
    <xf numFmtId="0" fontId="11" fillId="5" borderId="26" xfId="0" applyFont="1" applyFill="1" applyBorder="1" applyAlignment="1">
      <alignment horizontal="center" textRotation="90"/>
    </xf>
    <xf numFmtId="0" fontId="11" fillId="5" borderId="27" xfId="0" applyFont="1" applyFill="1" applyBorder="1" applyAlignment="1">
      <alignment horizontal="center" textRotation="90"/>
    </xf>
    <xf numFmtId="0" fontId="11" fillId="5" borderId="28" xfId="0" applyFont="1" applyFill="1" applyBorder="1" applyAlignment="1">
      <alignment horizontal="center" textRotation="90"/>
    </xf>
    <xf numFmtId="0" fontId="0" fillId="2" borderId="0" xfId="0" applyFill="1" applyAlignment="1">
      <alignment horizontal="left" vertical="center"/>
    </xf>
    <xf numFmtId="0" fontId="13" fillId="11" borderId="0" xfId="0" applyFont="1" applyFill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0" fontId="8" fillId="8" borderId="35" xfId="0" applyFont="1" applyFill="1" applyBorder="1" applyAlignment="1">
      <alignment horizontal="left" vertical="center"/>
    </xf>
    <xf numFmtId="0" fontId="8" fillId="8" borderId="38" xfId="0" applyFont="1" applyFill="1" applyBorder="1" applyAlignment="1">
      <alignment horizontal="left" vertical="center"/>
    </xf>
    <xf numFmtId="0" fontId="0" fillId="8" borderId="36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11" fillId="9" borderId="26" xfId="0" applyFont="1" applyFill="1" applyBorder="1" applyAlignment="1">
      <alignment horizontal="center" vertical="center" textRotation="90"/>
    </xf>
    <xf numFmtId="0" fontId="11" fillId="9" borderId="27" xfId="0" applyFont="1" applyFill="1" applyBorder="1" applyAlignment="1">
      <alignment horizontal="center" vertical="center" textRotation="90"/>
    </xf>
    <xf numFmtId="0" fontId="11" fillId="9" borderId="28" xfId="0" applyFont="1" applyFill="1" applyBorder="1" applyAlignment="1">
      <alignment horizontal="center" vertical="center" textRotation="90"/>
    </xf>
    <xf numFmtId="0" fontId="14" fillId="6" borderId="19" xfId="0" applyFont="1" applyFill="1" applyBorder="1" applyAlignment="1" applyProtection="1">
      <alignment horizontal="center" vertical="center"/>
      <protection hidden="1"/>
    </xf>
    <xf numFmtId="44" fontId="8" fillId="6" borderId="0" xfId="0" applyNumberFormat="1" applyFont="1" applyFill="1" applyAlignment="1" applyProtection="1">
      <alignment horizontal="center" vertical="center"/>
      <protection hidden="1"/>
    </xf>
    <xf numFmtId="44" fontId="8" fillId="6" borderId="24" xfId="0" applyNumberFormat="1" applyFont="1" applyFill="1" applyBorder="1" applyAlignment="1" applyProtection="1">
      <alignment horizontal="center" vertical="center"/>
      <protection hidden="1"/>
    </xf>
    <xf numFmtId="0" fontId="11" fillId="5" borderId="26" xfId="0" applyFont="1" applyFill="1" applyBorder="1" applyAlignment="1">
      <alignment horizontal="center" vertical="center" textRotation="90"/>
    </xf>
    <xf numFmtId="0" fontId="11" fillId="5" borderId="27" xfId="0" applyFont="1" applyFill="1" applyBorder="1" applyAlignment="1">
      <alignment horizontal="center" vertical="center" textRotation="90"/>
    </xf>
    <xf numFmtId="0" fontId="11" fillId="5" borderId="28" xfId="0" applyFont="1" applyFill="1" applyBorder="1" applyAlignment="1">
      <alignment horizontal="center" vertical="center" textRotation="90"/>
    </xf>
    <xf numFmtId="0" fontId="9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44" fontId="8" fillId="8" borderId="37" xfId="0" applyNumberFormat="1" applyFont="1" applyFill="1" applyBorder="1" applyAlignment="1" applyProtection="1">
      <alignment horizontal="center" vertical="center"/>
      <protection hidden="1"/>
    </xf>
    <xf numFmtId="44" fontId="8" fillId="8" borderId="40" xfId="0" applyNumberFormat="1" applyFont="1" applyFill="1" applyBorder="1" applyAlignment="1" applyProtection="1">
      <alignment horizontal="center" vertical="center"/>
      <protection hidden="1"/>
    </xf>
    <xf numFmtId="168" fontId="8" fillId="2" borderId="0" xfId="0" applyNumberFormat="1" applyFont="1" applyFill="1" applyAlignment="1" applyProtection="1">
      <alignment horizontal="left" vertical="center"/>
      <protection locked="0"/>
    </xf>
    <xf numFmtId="0" fontId="8" fillId="2" borderId="0" xfId="0" applyFont="1" applyFill="1" applyAlignment="1" applyProtection="1">
      <alignment horizontal="left" vertical="center"/>
      <protection hidden="1"/>
    </xf>
    <xf numFmtId="168" fontId="8" fillId="2" borderId="0" xfId="0" applyNumberFormat="1" applyFont="1" applyFill="1" applyAlignment="1" applyProtection="1">
      <alignment horizontal="left" vertical="center"/>
      <protection hidden="1"/>
    </xf>
    <xf numFmtId="0" fontId="8" fillId="14" borderId="43" xfId="0" applyFont="1" applyFill="1" applyBorder="1" applyAlignment="1" applyProtection="1">
      <alignment horizontal="left" vertical="center"/>
      <protection hidden="1"/>
    </xf>
    <xf numFmtId="0" fontId="8" fillId="14" borderId="51" xfId="0" applyFont="1" applyFill="1" applyBorder="1" applyAlignment="1" applyProtection="1">
      <alignment horizontal="left" vertical="center"/>
      <protection hidden="1"/>
    </xf>
    <xf numFmtId="0" fontId="8" fillId="10" borderId="44" xfId="0" applyFont="1" applyFill="1" applyBorder="1" applyAlignment="1" applyProtection="1">
      <alignment horizontal="left" vertical="center"/>
      <protection hidden="1"/>
    </xf>
    <xf numFmtId="0" fontId="8" fillId="10" borderId="46" xfId="0" applyFont="1" applyFill="1" applyBorder="1" applyAlignment="1" applyProtection="1">
      <alignment horizontal="left" vertical="center"/>
      <protection hidden="1"/>
    </xf>
    <xf numFmtId="0" fontId="8" fillId="10" borderId="54" xfId="0" applyFont="1" applyFill="1" applyBorder="1" applyAlignment="1" applyProtection="1">
      <alignment horizontal="left" vertical="center"/>
      <protection hidden="1"/>
    </xf>
    <xf numFmtId="0" fontId="8" fillId="10" borderId="55" xfId="0" applyFont="1" applyFill="1" applyBorder="1" applyAlignment="1" applyProtection="1">
      <alignment horizontal="left" vertical="center"/>
      <protection hidden="1"/>
    </xf>
    <xf numFmtId="0" fontId="15" fillId="3" borderId="0" xfId="0" applyFont="1" applyFill="1" applyAlignment="1" applyProtection="1">
      <alignment horizontal="left" vertical="center"/>
      <protection hidden="1"/>
    </xf>
    <xf numFmtId="0" fontId="15" fillId="13" borderId="0" xfId="0" applyFont="1" applyFill="1" applyAlignment="1" applyProtection="1">
      <alignment horizontal="left" vertical="center"/>
      <protection hidden="1"/>
    </xf>
    <xf numFmtId="0" fontId="16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17" fillId="2" borderId="18" xfId="0" applyFont="1" applyFill="1" applyBorder="1" applyAlignment="1" applyProtection="1">
      <alignment horizontal="center" vertical="center" textRotation="45"/>
      <protection hidden="1"/>
    </xf>
    <xf numFmtId="0" fontId="17" fillId="2" borderId="21" xfId="0" applyFont="1" applyFill="1" applyBorder="1" applyAlignment="1" applyProtection="1">
      <alignment horizontal="center" vertical="center" textRotation="45"/>
      <protection hidden="1"/>
    </xf>
    <xf numFmtId="0" fontId="17" fillId="2" borderId="23" xfId="0" applyFont="1" applyFill="1" applyBorder="1" applyAlignment="1" applyProtection="1">
      <alignment horizontal="center" vertical="center" textRotation="45"/>
      <protection hidden="1"/>
    </xf>
    <xf numFmtId="0" fontId="8" fillId="14" borderId="31" xfId="0" applyFont="1" applyFill="1" applyBorder="1" applyAlignment="1" applyProtection="1">
      <alignment horizontal="left" vertical="center"/>
      <protection hidden="1"/>
    </xf>
    <xf numFmtId="0" fontId="8" fillId="14" borderId="45" xfId="0" applyFont="1" applyFill="1" applyBorder="1" applyAlignment="1" applyProtection="1">
      <alignment horizontal="left" vertical="center"/>
      <protection hidden="1"/>
    </xf>
    <xf numFmtId="0" fontId="8" fillId="10" borderId="48" xfId="0" applyFont="1" applyFill="1" applyBorder="1" applyAlignment="1" applyProtection="1">
      <alignment horizontal="left" vertical="center"/>
      <protection hidden="1"/>
    </xf>
    <xf numFmtId="0" fontId="8" fillId="10" borderId="47" xfId="0" applyFont="1" applyFill="1" applyBorder="1" applyAlignment="1" applyProtection="1">
      <alignment horizontal="left" vertical="center"/>
      <protection hidden="1"/>
    </xf>
    <xf numFmtId="0" fontId="8" fillId="14" borderId="29" xfId="0" applyFont="1" applyFill="1" applyBorder="1" applyAlignment="1" applyProtection="1">
      <alignment horizontal="left" vertical="center"/>
      <protection hidden="1"/>
    </xf>
    <xf numFmtId="0" fontId="8" fillId="14" borderId="53" xfId="0" applyFont="1" applyFill="1" applyBorder="1" applyAlignment="1" applyProtection="1">
      <alignment horizontal="left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Comparativo - Trigo x Milho Safrinha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9.8848156336477477E-2"/>
          <c:y val="0.11197839372889913"/>
          <c:w val="0.88369152402093787"/>
          <c:h val="0.73956617610529174"/>
        </c:manualLayout>
      </c:layout>
      <c:barChart>
        <c:barDir val="col"/>
        <c:grouping val="clustered"/>
        <c:varyColors val="0"/>
        <c:ser>
          <c:idx val="1"/>
          <c:order val="0"/>
          <c:tx>
            <c:v>Trigo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'Comparativo - Trigo x Milho'!$B$5:$B$13</c:f>
              <c:strCache>
                <c:ptCount val="9"/>
                <c:pt idx="0">
                  <c:v>Dessecação</c:v>
                </c:pt>
                <c:pt idx="1">
                  <c:v>Sementes</c:v>
                </c:pt>
                <c:pt idx="2">
                  <c:v>Adubação</c:v>
                </c:pt>
                <c:pt idx="3">
                  <c:v>Tratamento de Sementes</c:v>
                </c:pt>
                <c:pt idx="4">
                  <c:v>Inseticidas</c:v>
                </c:pt>
                <c:pt idx="5">
                  <c:v>Fungicidas</c:v>
                </c:pt>
                <c:pt idx="6">
                  <c:v>Foliares</c:v>
                </c:pt>
                <c:pt idx="7">
                  <c:v>Herbicida Pós-emergente</c:v>
                </c:pt>
                <c:pt idx="8">
                  <c:v>Serviços</c:v>
                </c:pt>
              </c:strCache>
            </c:strRef>
          </c:cat>
          <c:val>
            <c:numRef>
              <c:f>'Comparativo - Trigo x Milho'!$D$5:$D$13</c:f>
              <c:numCache>
                <c:formatCode>_("R$"* #,##0.00_);_("R$"* \(#,##0.00\);_("R$"* "-"??_);_(@_)</c:formatCode>
                <c:ptCount val="9"/>
                <c:pt idx="0">
                  <c:v>54</c:v>
                </c:pt>
                <c:pt idx="1">
                  <c:v>486</c:v>
                </c:pt>
                <c:pt idx="2">
                  <c:v>1305</c:v>
                </c:pt>
                <c:pt idx="3">
                  <c:v>89.4</c:v>
                </c:pt>
                <c:pt idx="4">
                  <c:v>202</c:v>
                </c:pt>
                <c:pt idx="5">
                  <c:v>330</c:v>
                </c:pt>
                <c:pt idx="6">
                  <c:v>75</c:v>
                </c:pt>
                <c:pt idx="7">
                  <c:v>279</c:v>
                </c:pt>
                <c:pt idx="8">
                  <c:v>620.79999999999995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7AE-4A56-8A09-5AED3D6FAB2C}"/>
            </c:ext>
          </c:extLst>
        </c:ser>
        <c:ser>
          <c:idx val="2"/>
          <c:order val="1"/>
          <c:tx>
            <c:v>Milho Safrinha</c:v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'Comparativo - Trigo x Milho'!$B$5:$B$13</c:f>
              <c:strCache>
                <c:ptCount val="9"/>
                <c:pt idx="0">
                  <c:v>Dessecação</c:v>
                </c:pt>
                <c:pt idx="1">
                  <c:v>Sementes</c:v>
                </c:pt>
                <c:pt idx="2">
                  <c:v>Adubação</c:v>
                </c:pt>
                <c:pt idx="3">
                  <c:v>Tratamento de Sementes</c:v>
                </c:pt>
                <c:pt idx="4">
                  <c:v>Inseticidas</c:v>
                </c:pt>
                <c:pt idx="5">
                  <c:v>Fungicidas</c:v>
                </c:pt>
                <c:pt idx="6">
                  <c:v>Foliares</c:v>
                </c:pt>
                <c:pt idx="7">
                  <c:v>Herbicida Pós-emergente</c:v>
                </c:pt>
                <c:pt idx="8">
                  <c:v>Serviços</c:v>
                </c:pt>
              </c:strCache>
            </c:strRef>
          </c:cat>
          <c:val>
            <c:numRef>
              <c:f>'Comparativo - Trigo x Milho'!$H$5:$H$13</c:f>
              <c:numCache>
                <c:formatCode>_("R$"* #,##0.00_);_("R$"* \(#,##0.00\);_("R$"* "-"??_);_(@_)</c:formatCode>
                <c:ptCount val="9"/>
                <c:pt idx="0">
                  <c:v>54</c:v>
                </c:pt>
                <c:pt idx="1">
                  <c:v>990.00000000000011</c:v>
                </c:pt>
                <c:pt idx="2">
                  <c:v>1645</c:v>
                </c:pt>
                <c:pt idx="3">
                  <c:v>0</c:v>
                </c:pt>
                <c:pt idx="4">
                  <c:v>373</c:v>
                </c:pt>
                <c:pt idx="5">
                  <c:v>189</c:v>
                </c:pt>
                <c:pt idx="6">
                  <c:v>210</c:v>
                </c:pt>
                <c:pt idx="7">
                  <c:v>360</c:v>
                </c:pt>
                <c:pt idx="8">
                  <c:v>709.21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77AE-4A56-8A09-5AED3D6FA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87425024"/>
        <c:axId val="87426560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hade val="51000"/>
                          <a:satMod val="130000"/>
                        </a:schemeClr>
                      </a:gs>
                      <a:gs pos="80000">
                        <a:schemeClr val="accent1">
                          <a:shade val="93000"/>
                          <a:satMod val="130000"/>
                        </a:schemeClr>
                      </a:gs>
                      <a:gs pos="100000">
                        <a:schemeClr val="accent1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'Comparativo - Trigo x Milho'!$B$5:$B$13</c15:sqref>
                        </c15:formulaRef>
                      </c:ext>
                    </c:extLst>
                    <c:strCache>
                      <c:ptCount val="9"/>
                      <c:pt idx="0">
                        <c:v>Dessecação</c:v>
                      </c:pt>
                      <c:pt idx="1">
                        <c:v>Sementes</c:v>
                      </c:pt>
                      <c:pt idx="2">
                        <c:v>Adubação</c:v>
                      </c:pt>
                      <c:pt idx="3">
                        <c:v>Tratamento de Sementes</c:v>
                      </c:pt>
                      <c:pt idx="4">
                        <c:v>Inseticidas</c:v>
                      </c:pt>
                      <c:pt idx="5">
                        <c:v>Fungicidas</c:v>
                      </c:pt>
                      <c:pt idx="6">
                        <c:v>Foliares</c:v>
                      </c:pt>
                      <c:pt idx="7">
                        <c:v>Herbicida Pós-emergente</c:v>
                      </c:pt>
                      <c:pt idx="8">
                        <c:v>Serviços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'Comparativo - Trigo x Milho'!$C$5:$C$13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77AE-4A56-8A09-5AED3D6FAB2C}"/>
                  </c:ext>
                </c:extLst>
              </c15:ser>
            </c15:filteredBarSeries>
          </c:ext>
        </c:extLst>
      </c:barChart>
      <c:catAx>
        <c:axId val="87425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7426560"/>
        <c:crosses val="autoZero"/>
        <c:auto val="1"/>
        <c:lblAlgn val="ctr"/>
        <c:lblOffset val="100"/>
        <c:noMultiLvlLbl val="0"/>
      </c:catAx>
      <c:valAx>
        <c:axId val="87426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&quot;* #,##0.00_);_(&quot;R$&quot;* \(#,##0.00\);_(&quot;R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7425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paperSize="9" orientation="landscape" horizontalDpi="1200" verticalDpi="12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Comparativo de Sobras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('Comparativo - Trigo x Milho'!$D$19,'Comparativo - Trigo x Milho'!$H$19)</c:f>
              <c:numCache>
                <c:formatCode>"R$"#,##0.00_);[Red]\("R$"#,##0.00\)</c:formatCode>
                <c:ptCount val="2"/>
                <c:pt idx="0">
                  <c:v>851.80000000000018</c:v>
                </c:pt>
                <c:pt idx="1">
                  <c:v>974.79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329-4025-812D-BE3F3B9F13CD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('Comparativo - Trigo x Milho'!$D$20,'Comparativo - Trigo x Milho'!$H$20)</c:f>
              <c:numCache>
                <c:formatCode>"R$"#,##0.00_);[Red]\("R$"#,##0.00\)</c:formatCode>
                <c:ptCount val="2"/>
                <c:pt idx="0">
                  <c:v>2465.3000000000002</c:v>
                </c:pt>
                <c:pt idx="1">
                  <c:v>2753.79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329-4025-812D-BE3F3B9F13CD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('Comparativo - Trigo x Milho'!$D$21,'Comparativo - Trigo x Milho'!$H$21)</c:f>
              <c:numCache>
                <c:formatCode>"R$"#,##0.00_);[Red]\("R$"#,##0.00\)</c:formatCode>
                <c:ptCount val="2"/>
                <c:pt idx="0">
                  <c:v>4078.8</c:v>
                </c:pt>
                <c:pt idx="1">
                  <c:v>4532.79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D329-4025-812D-BE3F3B9F13CD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('Comparativo - Trigo x Milho'!$D$22,'Comparativo - Trigo x Milho'!$H$22)</c:f>
              <c:numCache>
                <c:formatCode>"R$"#,##0.00_);[Red]\("R$"#,##0.00\)</c:formatCode>
                <c:ptCount val="2"/>
                <c:pt idx="0">
                  <c:v>5986.8</c:v>
                </c:pt>
                <c:pt idx="1">
                  <c:v>7101.79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D329-4025-812D-BE3F3B9F1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87488384"/>
        <c:axId val="87489920"/>
      </c:barChart>
      <c:catAx>
        <c:axId val="87488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7489920"/>
        <c:crosses val="autoZero"/>
        <c:auto val="1"/>
        <c:lblAlgn val="ctr"/>
        <c:lblOffset val="100"/>
        <c:noMultiLvlLbl val="0"/>
      </c:catAx>
      <c:valAx>
        <c:axId val="87489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R$&quot;#,##0.00_);[Red]\(&quot;R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7488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104774</xdr:colOff>
      <xdr:row>0</xdr:row>
      <xdr:rowOff>85725</xdr:rowOff>
    </xdr:from>
    <xdr:to>
      <xdr:col>15</xdr:col>
      <xdr:colOff>47624</xdr:colOff>
      <xdr:row>1</xdr:row>
      <xdr:rowOff>1080373</xdr:rowOff>
    </xdr:to>
    <xdr:pic>
      <xdr:nvPicPr>
        <xdr:cNvPr id="3" name="Imagem 2" descr="https://tamonasite.files.wordpress.com/2017/05/logo-aprovada.jp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4" y="85725"/>
          <a:ext cx="3000375" cy="1185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66674</xdr:rowOff>
    </xdr:from>
    <xdr:to>
      <xdr:col>9</xdr:col>
      <xdr:colOff>38100</xdr:colOff>
      <xdr:row>7</xdr:row>
      <xdr:rowOff>63187</xdr:rowOff>
    </xdr:to>
    <xdr:pic>
      <xdr:nvPicPr>
        <xdr:cNvPr id="2" name="Imagem 1" descr="https://tamonasite.files.wordpress.com/2017/05/logo-aprovada.jpg">
          <a:extLst>
            <a:ext uri="{FF2B5EF4-FFF2-40B4-BE49-F238E27FC236}">
              <a16:creationId xmlns="" xmlns:a16="http://schemas.microsoft.com/office/drawing/2014/main" id="{E03FA4C2-8136-4EB8-8419-73F52262B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6674"/>
          <a:ext cx="3381375" cy="1330013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66674</xdr:rowOff>
    </xdr:from>
    <xdr:to>
      <xdr:col>9</xdr:col>
      <xdr:colOff>38100</xdr:colOff>
      <xdr:row>7</xdr:row>
      <xdr:rowOff>63187</xdr:rowOff>
    </xdr:to>
    <xdr:pic>
      <xdr:nvPicPr>
        <xdr:cNvPr id="2" name="Imagem 1" descr="https://tamonasite.files.wordpress.com/2017/05/logo-aprovada.jpg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6674"/>
          <a:ext cx="3381375" cy="1330013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13</xdr:row>
      <xdr:rowOff>42860</xdr:rowOff>
    </xdr:from>
    <xdr:to>
      <xdr:col>21</xdr:col>
      <xdr:colOff>142874</xdr:colOff>
      <xdr:row>38</xdr:row>
      <xdr:rowOff>104775</xdr:rowOff>
    </xdr:to>
    <xdr:graphicFrame macro="">
      <xdr:nvGraphicFramePr>
        <xdr:cNvPr id="11" name="Gráfico 10">
          <a:extLst>
            <a:ext uri="{FF2B5EF4-FFF2-40B4-BE49-F238E27FC236}">
              <a16:creationId xmlns="" xmlns:a16="http://schemas.microsoft.com/office/drawing/2014/main" id="{DD1FC7E6-5A30-4A21-88C0-15C585A0D0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428625</xdr:colOff>
      <xdr:row>3</xdr:row>
      <xdr:rowOff>19051</xdr:rowOff>
    </xdr:from>
    <xdr:to>
      <xdr:col>16</xdr:col>
      <xdr:colOff>181281</xdr:colOff>
      <xdr:row>12</xdr:row>
      <xdr:rowOff>38101</xdr:rowOff>
    </xdr:to>
    <xdr:pic>
      <xdr:nvPicPr>
        <xdr:cNvPr id="12" name="Imagem 11" descr="https://tamonasite.files.wordpress.com/2017/05/logo-aprovada.jpg">
          <a:extLst>
            <a:ext uri="{FF2B5EF4-FFF2-40B4-BE49-F238E27FC236}">
              <a16:creationId xmlns="" xmlns:a16="http://schemas.microsoft.com/office/drawing/2014/main" id="{97D18F91-2DBB-4D1C-8F9F-0ADD6C7A6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609601"/>
          <a:ext cx="4019856" cy="1581150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209549</xdr:colOff>
      <xdr:row>22</xdr:row>
      <xdr:rowOff>80961</xdr:rowOff>
    </xdr:from>
    <xdr:to>
      <xdr:col>8</xdr:col>
      <xdr:colOff>9524</xdr:colOff>
      <xdr:row>38</xdr:row>
      <xdr:rowOff>123824</xdr:rowOff>
    </xdr:to>
    <xdr:graphicFrame macro="">
      <xdr:nvGraphicFramePr>
        <xdr:cNvPr id="9" name="Gráfico 8">
          <a:extLst>
            <a:ext uri="{FF2B5EF4-FFF2-40B4-BE49-F238E27FC236}">
              <a16:creationId xmlns="" xmlns:a16="http://schemas.microsoft.com/office/drawing/2014/main" id="{A330935D-DDB3-4012-A992-4B965AC502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45"/>
  <sheetViews>
    <sheetView topLeftCell="L19" workbookViewId="0">
      <selection activeCell="M23" sqref="M23"/>
    </sheetView>
  </sheetViews>
  <sheetFormatPr defaultRowHeight="15" x14ac:dyDescent="0.25"/>
  <cols>
    <col min="1" max="1" width="20.85546875" style="1" hidden="1" customWidth="1"/>
    <col min="2" max="2" width="8" style="1" hidden="1" customWidth="1"/>
    <col min="3" max="3" width="8.85546875" style="1" hidden="1" customWidth="1"/>
    <col min="4" max="4" width="8.5703125" style="1" hidden="1" customWidth="1"/>
    <col min="5" max="5" width="7.7109375" style="1" hidden="1" customWidth="1"/>
    <col min="6" max="6" width="6.7109375" style="1" hidden="1" customWidth="1"/>
    <col min="7" max="7" width="8.42578125" style="1" hidden="1" customWidth="1"/>
    <col min="8" max="8" width="7.7109375" style="1" hidden="1" customWidth="1"/>
    <col min="9" max="9" width="7" style="1" hidden="1" customWidth="1"/>
    <col min="10" max="10" width="8.140625" style="1" hidden="1" customWidth="1"/>
    <col min="11" max="11" width="9.140625" style="1" hidden="1" customWidth="1"/>
    <col min="12" max="12" width="19.42578125" style="1" customWidth="1"/>
    <col min="13" max="13" width="7.7109375" style="1" customWidth="1"/>
    <col min="14" max="14" width="9.5703125" style="1" bestFit="1" customWidth="1"/>
    <col min="15" max="15" width="9.140625" style="1"/>
    <col min="16" max="16" width="7.7109375" style="1" customWidth="1"/>
    <col min="17" max="17" width="8" style="1" customWidth="1"/>
    <col min="18" max="18" width="9.140625" style="1"/>
    <col min="19" max="19" width="7" style="1" customWidth="1"/>
    <col min="20" max="20" width="10" style="1" customWidth="1"/>
    <col min="21" max="24" width="9.140625" style="1"/>
    <col min="25" max="25" width="19.7109375" style="1" bestFit="1" customWidth="1"/>
    <col min="26" max="26" width="9.28515625" style="1" customWidth="1"/>
    <col min="27" max="16384" width="9.140625" style="1"/>
  </cols>
  <sheetData>
    <row r="2" spans="1:28" ht="87" customHeight="1" x14ac:dyDescent="0.25"/>
    <row r="3" spans="1:28" ht="19.5" thickBot="1" x14ac:dyDescent="0.35">
      <c r="A3" s="162" t="s">
        <v>1</v>
      </c>
      <c r="B3" s="162"/>
      <c r="C3" s="162"/>
      <c r="D3" s="162"/>
      <c r="E3" s="162"/>
      <c r="F3" s="162"/>
      <c r="G3" s="162"/>
      <c r="H3" s="162"/>
      <c r="I3" s="1">
        <v>2014</v>
      </c>
      <c r="L3" s="162" t="s">
        <v>51</v>
      </c>
      <c r="M3" s="162"/>
      <c r="N3" s="162"/>
      <c r="O3" s="162"/>
      <c r="P3" s="162"/>
      <c r="Q3" s="162"/>
      <c r="R3" s="162"/>
      <c r="S3" s="162"/>
      <c r="T3" s="1">
        <v>2017</v>
      </c>
    </row>
    <row r="4" spans="1:28" ht="15.75" thickBot="1" x14ac:dyDescent="0.3">
      <c r="A4" s="2"/>
      <c r="B4" s="3" t="s">
        <v>2</v>
      </c>
      <c r="C4" s="165" t="s">
        <v>3</v>
      </c>
      <c r="D4" s="166"/>
      <c r="E4" s="4" t="s">
        <v>0</v>
      </c>
      <c r="F4" s="167" t="s">
        <v>4</v>
      </c>
      <c r="G4" s="168"/>
      <c r="H4" s="165" t="s">
        <v>5</v>
      </c>
      <c r="I4" s="169"/>
      <c r="J4" s="5"/>
      <c r="L4" s="2"/>
      <c r="M4" s="3" t="s">
        <v>2</v>
      </c>
      <c r="N4" s="165" t="s">
        <v>3</v>
      </c>
      <c r="O4" s="166"/>
      <c r="P4" s="4" t="s">
        <v>0</v>
      </c>
      <c r="Q4" s="167" t="s">
        <v>4</v>
      </c>
      <c r="R4" s="168"/>
      <c r="S4" s="165" t="s">
        <v>5</v>
      </c>
      <c r="T4" s="169"/>
      <c r="U4" s="5"/>
      <c r="Y4" s="1" t="s">
        <v>60</v>
      </c>
    </row>
    <row r="5" spans="1:28" ht="15.75" thickBot="1" x14ac:dyDescent="0.3">
      <c r="A5" s="6"/>
      <c r="B5" s="6"/>
      <c r="C5" s="7" t="s">
        <v>6</v>
      </c>
      <c r="D5" s="8" t="s">
        <v>7</v>
      </c>
      <c r="E5" s="9"/>
      <c r="F5" s="9" t="s">
        <v>6</v>
      </c>
      <c r="G5" s="10" t="s">
        <v>7</v>
      </c>
      <c r="H5" s="2"/>
      <c r="I5" s="9"/>
      <c r="J5" s="3" t="s">
        <v>7</v>
      </c>
      <c r="L5" s="6" t="s">
        <v>59</v>
      </c>
      <c r="M5" s="6"/>
      <c r="N5" s="7" t="s">
        <v>6</v>
      </c>
      <c r="O5" s="8" t="s">
        <v>7</v>
      </c>
      <c r="P5" s="9"/>
      <c r="Q5" s="9" t="s">
        <v>6</v>
      </c>
      <c r="R5" s="10" t="s">
        <v>7</v>
      </c>
      <c r="S5" s="2"/>
      <c r="T5" s="9"/>
      <c r="U5" s="3" t="s">
        <v>7</v>
      </c>
      <c r="Y5" s="1" t="s">
        <v>61</v>
      </c>
    </row>
    <row r="6" spans="1:28" x14ac:dyDescent="0.25">
      <c r="A6" s="11" t="s">
        <v>8</v>
      </c>
      <c r="B6" s="12">
        <v>2.5</v>
      </c>
      <c r="C6" s="12">
        <v>17</v>
      </c>
      <c r="D6" s="13">
        <v>42.5</v>
      </c>
      <c r="E6" s="12">
        <v>2.5</v>
      </c>
      <c r="F6" s="12">
        <v>17</v>
      </c>
      <c r="G6" s="13">
        <v>42.5</v>
      </c>
      <c r="J6" s="13">
        <v>42.5</v>
      </c>
      <c r="L6" s="11" t="s">
        <v>8</v>
      </c>
      <c r="M6" s="12">
        <v>1.6</v>
      </c>
      <c r="N6" s="12">
        <v>15</v>
      </c>
      <c r="O6" s="13">
        <f>M6*N6</f>
        <v>24</v>
      </c>
      <c r="P6" s="12">
        <v>1.6</v>
      </c>
      <c r="Q6" s="12">
        <v>15</v>
      </c>
      <c r="R6" s="13">
        <f>P6*Q6</f>
        <v>24</v>
      </c>
      <c r="U6" s="13">
        <f>R6</f>
        <v>24</v>
      </c>
      <c r="Y6" s="1" t="s">
        <v>62</v>
      </c>
      <c r="Z6" s="1">
        <v>1.6</v>
      </c>
      <c r="AA6" s="14">
        <v>15</v>
      </c>
      <c r="AB6" s="14">
        <f>Z6*AA6</f>
        <v>24</v>
      </c>
    </row>
    <row r="7" spans="1:28" x14ac:dyDescent="0.25">
      <c r="A7" s="11" t="s">
        <v>9</v>
      </c>
      <c r="B7" s="12">
        <v>250</v>
      </c>
      <c r="C7" s="12">
        <v>1.2</v>
      </c>
      <c r="D7" s="13">
        <v>300</v>
      </c>
      <c r="E7" s="12">
        <v>200</v>
      </c>
      <c r="F7" s="12">
        <v>1.2</v>
      </c>
      <c r="G7" s="13">
        <v>240</v>
      </c>
      <c r="J7" s="13">
        <v>240</v>
      </c>
      <c r="L7" s="11" t="s">
        <v>9</v>
      </c>
      <c r="M7" s="12">
        <v>360</v>
      </c>
      <c r="N7" s="12">
        <v>1.4</v>
      </c>
      <c r="O7" s="15">
        <f t="shared" ref="O7:O16" si="0">M7*N7</f>
        <v>503.99999999999994</v>
      </c>
      <c r="P7" s="12">
        <v>250</v>
      </c>
      <c r="Q7" s="12">
        <v>1.4</v>
      </c>
      <c r="R7" s="15">
        <f t="shared" ref="R7:R15" si="1">P7*Q7</f>
        <v>350</v>
      </c>
      <c r="U7" s="15">
        <f>R7</f>
        <v>350</v>
      </c>
      <c r="Z7" s="1" t="s">
        <v>19</v>
      </c>
      <c r="AB7" s="14">
        <f>SUM(AB6)</f>
        <v>24</v>
      </c>
    </row>
    <row r="8" spans="1:28" x14ac:dyDescent="0.25">
      <c r="A8" s="11" t="s">
        <v>10</v>
      </c>
      <c r="B8" s="12">
        <v>20</v>
      </c>
      <c r="C8" s="12">
        <v>22</v>
      </c>
      <c r="D8" s="13">
        <v>440</v>
      </c>
      <c r="E8" s="12">
        <v>165</v>
      </c>
      <c r="F8" s="12">
        <v>2.1</v>
      </c>
      <c r="G8" s="13">
        <v>346.5</v>
      </c>
      <c r="H8" s="12">
        <v>130</v>
      </c>
      <c r="I8" s="12">
        <v>2.4</v>
      </c>
      <c r="J8" s="13">
        <v>312</v>
      </c>
      <c r="L8" s="11" t="s">
        <v>10</v>
      </c>
      <c r="M8" s="12">
        <v>17.5</v>
      </c>
      <c r="N8" s="12">
        <v>35</v>
      </c>
      <c r="O8" s="15">
        <f t="shared" si="0"/>
        <v>612.5</v>
      </c>
      <c r="P8" s="12">
        <v>125</v>
      </c>
      <c r="Q8" s="12">
        <v>1.5</v>
      </c>
      <c r="R8" s="15">
        <f t="shared" si="1"/>
        <v>187.5</v>
      </c>
      <c r="S8" s="12">
        <v>110</v>
      </c>
      <c r="T8" s="12">
        <v>1.5</v>
      </c>
      <c r="U8" s="15">
        <f t="shared" ref="U8" si="2">S8*T8</f>
        <v>165</v>
      </c>
      <c r="Y8" s="1" t="s">
        <v>63</v>
      </c>
      <c r="Z8" s="1">
        <v>360</v>
      </c>
      <c r="AA8" s="14">
        <v>1.4</v>
      </c>
      <c r="AB8" s="1">
        <f>Z8*AA8</f>
        <v>503.99999999999994</v>
      </c>
    </row>
    <row r="9" spans="1:28" x14ac:dyDescent="0.25">
      <c r="A9" s="11" t="s">
        <v>11</v>
      </c>
      <c r="B9" s="12">
        <v>60</v>
      </c>
      <c r="C9" s="12">
        <v>1.3</v>
      </c>
      <c r="D9" s="13">
        <v>78</v>
      </c>
      <c r="E9" s="12">
        <v>50</v>
      </c>
      <c r="F9" s="12">
        <v>1.3</v>
      </c>
      <c r="G9" s="13">
        <v>65</v>
      </c>
      <c r="J9" s="13">
        <v>65</v>
      </c>
      <c r="L9" s="11" t="s">
        <v>11</v>
      </c>
      <c r="M9" s="12">
        <v>80</v>
      </c>
      <c r="N9" s="12">
        <v>1.5</v>
      </c>
      <c r="O9" s="15">
        <f t="shared" si="0"/>
        <v>120</v>
      </c>
      <c r="P9" s="12">
        <v>130</v>
      </c>
      <c r="Q9" s="12">
        <v>1.5</v>
      </c>
      <c r="R9" s="15">
        <f t="shared" si="1"/>
        <v>195</v>
      </c>
      <c r="U9" s="15">
        <f>R9</f>
        <v>195</v>
      </c>
      <c r="AB9" s="1">
        <f t="shared" ref="AB9:AB14" si="3">Z9*AA9</f>
        <v>0</v>
      </c>
    </row>
    <row r="10" spans="1:28" x14ac:dyDescent="0.25">
      <c r="A10" s="11" t="s">
        <v>12</v>
      </c>
      <c r="B10" s="12">
        <v>2.5</v>
      </c>
      <c r="C10" s="12">
        <v>12</v>
      </c>
      <c r="D10" s="13">
        <v>30</v>
      </c>
      <c r="E10" s="12">
        <v>1</v>
      </c>
      <c r="F10" s="12">
        <v>10</v>
      </c>
      <c r="G10" s="13">
        <v>10</v>
      </c>
      <c r="J10" s="13">
        <v>10</v>
      </c>
      <c r="L10" s="11" t="s">
        <v>12</v>
      </c>
      <c r="M10" s="12">
        <v>6</v>
      </c>
      <c r="N10" s="12">
        <v>24</v>
      </c>
      <c r="O10" s="15">
        <f t="shared" si="0"/>
        <v>144</v>
      </c>
      <c r="P10" s="12">
        <v>3</v>
      </c>
      <c r="Q10" s="12">
        <v>24</v>
      </c>
      <c r="R10" s="15">
        <f t="shared" si="1"/>
        <v>72</v>
      </c>
      <c r="U10" s="15">
        <f t="shared" ref="U10:U12" si="4">R10</f>
        <v>72</v>
      </c>
      <c r="Y10" s="1" t="s">
        <v>64</v>
      </c>
      <c r="Z10" s="1">
        <v>17.5</v>
      </c>
      <c r="AA10" s="1">
        <v>30</v>
      </c>
      <c r="AB10" s="1">
        <f t="shared" si="3"/>
        <v>525</v>
      </c>
    </row>
    <row r="11" spans="1:28" x14ac:dyDescent="0.25">
      <c r="A11" s="11"/>
      <c r="D11" s="16"/>
      <c r="E11" s="12">
        <v>0.1</v>
      </c>
      <c r="F11" s="12">
        <v>420</v>
      </c>
      <c r="G11" s="13">
        <v>42</v>
      </c>
      <c r="J11" s="13">
        <v>42</v>
      </c>
      <c r="L11" s="11"/>
      <c r="M11" s="12">
        <v>8</v>
      </c>
      <c r="N11" s="12">
        <v>16</v>
      </c>
      <c r="O11" s="15">
        <f t="shared" si="0"/>
        <v>128</v>
      </c>
      <c r="P11" s="12">
        <v>0.16</v>
      </c>
      <c r="Q11" s="12">
        <v>485</v>
      </c>
      <c r="R11" s="15">
        <f t="shared" si="1"/>
        <v>77.600000000000009</v>
      </c>
      <c r="U11" s="15">
        <f t="shared" si="4"/>
        <v>77.600000000000009</v>
      </c>
      <c r="Y11" s="1" t="s">
        <v>65</v>
      </c>
      <c r="Z11" s="1">
        <v>1</v>
      </c>
      <c r="AA11" s="1">
        <v>87.5</v>
      </c>
      <c r="AB11" s="1">
        <f t="shared" si="3"/>
        <v>87.5</v>
      </c>
    </row>
    <row r="12" spans="1:28" x14ac:dyDescent="0.25">
      <c r="A12" s="11" t="s">
        <v>13</v>
      </c>
      <c r="B12" s="12">
        <v>0.3</v>
      </c>
      <c r="C12" s="12">
        <v>160</v>
      </c>
      <c r="D12" s="13">
        <v>48</v>
      </c>
      <c r="E12" s="12">
        <v>0.3</v>
      </c>
      <c r="F12" s="12">
        <v>160</v>
      </c>
      <c r="G12" s="13">
        <v>48</v>
      </c>
      <c r="J12" s="13">
        <v>48</v>
      </c>
      <c r="L12" s="11" t="s">
        <v>13</v>
      </c>
      <c r="M12" s="12">
        <v>0.3</v>
      </c>
      <c r="N12" s="12">
        <v>170</v>
      </c>
      <c r="O12" s="15">
        <f t="shared" si="0"/>
        <v>51</v>
      </c>
      <c r="P12" s="12">
        <v>0.3</v>
      </c>
      <c r="Q12" s="12">
        <v>170</v>
      </c>
      <c r="R12" s="15">
        <f t="shared" si="1"/>
        <v>51</v>
      </c>
      <c r="U12" s="15">
        <f t="shared" si="4"/>
        <v>51</v>
      </c>
      <c r="Z12" s="1" t="s">
        <v>19</v>
      </c>
      <c r="AB12" s="1">
        <f>SUM(AB10:AB11)</f>
        <v>612.5</v>
      </c>
    </row>
    <row r="13" spans="1:28" x14ac:dyDescent="0.25">
      <c r="A13" s="11" t="s">
        <v>14</v>
      </c>
      <c r="B13" s="12">
        <v>0.3</v>
      </c>
      <c r="C13" s="12">
        <v>182</v>
      </c>
      <c r="D13" s="13">
        <v>54.6</v>
      </c>
      <c r="E13" s="12">
        <v>0.6</v>
      </c>
      <c r="F13" s="12">
        <v>182</v>
      </c>
      <c r="G13" s="13">
        <v>109.2</v>
      </c>
      <c r="H13" s="12">
        <v>0.3</v>
      </c>
      <c r="I13" s="12">
        <v>182</v>
      </c>
      <c r="J13" s="13">
        <v>54.6</v>
      </c>
      <c r="L13" s="11" t="s">
        <v>14</v>
      </c>
      <c r="M13" s="12">
        <v>0.3</v>
      </c>
      <c r="N13" s="12">
        <v>170</v>
      </c>
      <c r="O13" s="15">
        <f t="shared" si="0"/>
        <v>51</v>
      </c>
      <c r="P13" s="12">
        <v>0.3</v>
      </c>
      <c r="Q13" s="12">
        <v>170</v>
      </c>
      <c r="R13" s="15">
        <f t="shared" si="1"/>
        <v>51</v>
      </c>
      <c r="S13" s="12">
        <v>0.15</v>
      </c>
      <c r="T13" s="12">
        <v>170</v>
      </c>
      <c r="U13" s="15">
        <f t="shared" ref="U13:U16" si="5">S13*T13</f>
        <v>25.5</v>
      </c>
      <c r="Y13" s="1" t="s">
        <v>66</v>
      </c>
      <c r="Z13" s="1">
        <v>80</v>
      </c>
      <c r="AA13" s="1">
        <v>1.5</v>
      </c>
      <c r="AB13" s="1">
        <f t="shared" si="3"/>
        <v>120</v>
      </c>
    </row>
    <row r="14" spans="1:28" x14ac:dyDescent="0.25">
      <c r="A14" s="11" t="s">
        <v>15</v>
      </c>
      <c r="D14" s="13">
        <v>40</v>
      </c>
      <c r="G14" s="13">
        <v>40</v>
      </c>
      <c r="J14" s="13">
        <v>40</v>
      </c>
      <c r="L14" s="11" t="s">
        <v>15</v>
      </c>
      <c r="M14" s="12">
        <v>1</v>
      </c>
      <c r="N14" s="12">
        <v>60</v>
      </c>
      <c r="O14" s="15">
        <v>65</v>
      </c>
      <c r="P14" s="12">
        <v>1</v>
      </c>
      <c r="Q14" s="12">
        <v>65</v>
      </c>
      <c r="R14" s="15">
        <f t="shared" si="1"/>
        <v>65</v>
      </c>
      <c r="U14" s="15">
        <f>R14</f>
        <v>65</v>
      </c>
      <c r="Y14" s="1" t="s">
        <v>12</v>
      </c>
      <c r="AB14" s="1">
        <f t="shared" si="3"/>
        <v>0</v>
      </c>
    </row>
    <row r="15" spans="1:28" x14ac:dyDescent="0.25">
      <c r="A15" s="11" t="s">
        <v>16</v>
      </c>
      <c r="B15" s="12">
        <v>3</v>
      </c>
      <c r="C15" s="12">
        <v>10</v>
      </c>
      <c r="D15" s="13">
        <v>30</v>
      </c>
      <c r="E15" s="12">
        <v>5</v>
      </c>
      <c r="F15" s="12">
        <v>10</v>
      </c>
      <c r="G15" s="13">
        <v>50</v>
      </c>
      <c r="H15" s="12">
        <v>4</v>
      </c>
      <c r="I15" s="12">
        <v>10</v>
      </c>
      <c r="J15" s="13">
        <v>40</v>
      </c>
      <c r="L15" s="11" t="s">
        <v>16</v>
      </c>
      <c r="M15" s="12">
        <v>5</v>
      </c>
      <c r="N15" s="12">
        <v>10</v>
      </c>
      <c r="O15" s="15">
        <f t="shared" si="0"/>
        <v>50</v>
      </c>
      <c r="P15" s="12">
        <v>5</v>
      </c>
      <c r="Q15" s="12">
        <v>10</v>
      </c>
      <c r="R15" s="15">
        <f t="shared" si="1"/>
        <v>50</v>
      </c>
      <c r="S15" s="12">
        <v>4</v>
      </c>
      <c r="T15" s="12">
        <v>12</v>
      </c>
      <c r="U15" s="15">
        <f t="shared" si="5"/>
        <v>48</v>
      </c>
    </row>
    <row r="16" spans="1:28" x14ac:dyDescent="0.25">
      <c r="A16" s="11" t="s">
        <v>17</v>
      </c>
      <c r="B16" s="12">
        <v>3</v>
      </c>
      <c r="C16" s="12">
        <v>35</v>
      </c>
      <c r="D16" s="13">
        <v>105</v>
      </c>
      <c r="E16" s="12">
        <v>5</v>
      </c>
      <c r="F16" s="12">
        <v>35</v>
      </c>
      <c r="G16" s="13">
        <v>175</v>
      </c>
      <c r="H16" s="12">
        <v>4</v>
      </c>
      <c r="I16" s="12">
        <v>35</v>
      </c>
      <c r="J16" s="13">
        <v>140</v>
      </c>
      <c r="L16" s="11" t="s">
        <v>17</v>
      </c>
      <c r="M16" s="12">
        <v>5</v>
      </c>
      <c r="N16" s="12">
        <v>40</v>
      </c>
      <c r="O16" s="15">
        <f t="shared" si="0"/>
        <v>200</v>
      </c>
      <c r="P16" s="12">
        <v>5</v>
      </c>
      <c r="Q16" s="12">
        <v>40</v>
      </c>
      <c r="R16" s="15">
        <f t="shared" ref="R16" si="6">P16*Q16</f>
        <v>200</v>
      </c>
      <c r="S16" s="12">
        <v>4</v>
      </c>
      <c r="T16" s="12">
        <v>35</v>
      </c>
      <c r="U16" s="15">
        <f t="shared" si="5"/>
        <v>140</v>
      </c>
    </row>
    <row r="17" spans="1:22" ht="15.75" thickBot="1" x14ac:dyDescent="0.3">
      <c r="A17" s="6" t="s">
        <v>18</v>
      </c>
      <c r="B17" s="17">
        <v>5</v>
      </c>
      <c r="C17" s="17">
        <v>22</v>
      </c>
      <c r="D17" s="18">
        <v>92.5</v>
      </c>
      <c r="E17" s="17">
        <v>2.2000000000000002</v>
      </c>
      <c r="F17" s="17">
        <v>40</v>
      </c>
      <c r="G17" s="18">
        <v>88</v>
      </c>
      <c r="H17" s="7"/>
      <c r="I17" s="7"/>
      <c r="J17" s="18">
        <v>88</v>
      </c>
      <c r="L17" s="6" t="s">
        <v>18</v>
      </c>
      <c r="M17" s="17">
        <v>5</v>
      </c>
      <c r="N17" s="17">
        <v>21</v>
      </c>
      <c r="O17" s="19">
        <v>130</v>
      </c>
      <c r="P17" s="17">
        <v>2.5</v>
      </c>
      <c r="Q17" s="20">
        <f>R21</f>
        <v>34.5</v>
      </c>
      <c r="R17" s="19">
        <v>110</v>
      </c>
      <c r="S17" s="7"/>
      <c r="T17" s="7"/>
      <c r="U17" s="19">
        <f>R17</f>
        <v>110</v>
      </c>
    </row>
    <row r="18" spans="1:22" ht="15.75" thickBot="1" x14ac:dyDescent="0.3">
      <c r="A18" s="6" t="s">
        <v>19</v>
      </c>
      <c r="B18" s="7"/>
      <c r="C18" s="7"/>
      <c r="D18" s="18">
        <v>1218.0999999999999</v>
      </c>
      <c r="E18" s="7"/>
      <c r="F18" s="7"/>
      <c r="G18" s="18">
        <v>1213.7</v>
      </c>
      <c r="H18" s="7"/>
      <c r="I18" s="7"/>
      <c r="J18" s="18">
        <v>1079.5999999999999</v>
      </c>
      <c r="L18" s="6" t="s">
        <v>19</v>
      </c>
      <c r="M18" s="7"/>
      <c r="N18" s="7"/>
      <c r="O18" s="18">
        <f>SUM(O6:O17)</f>
        <v>2079.5</v>
      </c>
      <c r="P18" s="7"/>
      <c r="Q18" s="7"/>
      <c r="R18" s="19">
        <f>SUM(R6:R17)</f>
        <v>1433.1</v>
      </c>
      <c r="S18" s="7"/>
      <c r="T18" s="7"/>
      <c r="U18" s="19">
        <f>SUM(U6:U17)</f>
        <v>1323.1</v>
      </c>
    </row>
    <row r="19" spans="1:22" x14ac:dyDescent="0.25">
      <c r="Q19" s="21" t="s">
        <v>48</v>
      </c>
      <c r="R19" s="22">
        <f>R18/O18</f>
        <v>0.68915604712671308</v>
      </c>
      <c r="S19" s="1" t="s">
        <v>49</v>
      </c>
      <c r="T19" s="21" t="s">
        <v>48</v>
      </c>
      <c r="U19" s="23">
        <f>U18/O18</f>
        <v>0.63625871603750894</v>
      </c>
    </row>
    <row r="20" spans="1:22" ht="15.75" thickBot="1" x14ac:dyDescent="0.3">
      <c r="R20" s="1" t="s">
        <v>56</v>
      </c>
      <c r="S20" s="1" t="s">
        <v>50</v>
      </c>
      <c r="T20" s="21" t="s">
        <v>48</v>
      </c>
      <c r="U20" s="23">
        <f>U18/R18</f>
        <v>0.92324331867978504</v>
      </c>
    </row>
    <row r="21" spans="1:22" ht="15.75" thickBot="1" x14ac:dyDescent="0.3">
      <c r="A21" s="2" t="s">
        <v>20</v>
      </c>
      <c r="B21" s="9" t="s">
        <v>21</v>
      </c>
      <c r="C21" s="9"/>
      <c r="D21" s="24">
        <v>22</v>
      </c>
      <c r="E21" s="2" t="s">
        <v>22</v>
      </c>
      <c r="F21" s="9"/>
      <c r="G21" s="25">
        <v>41</v>
      </c>
      <c r="H21" s="9"/>
      <c r="I21" s="9"/>
      <c r="J21" s="26"/>
      <c r="L21" s="2" t="s">
        <v>20</v>
      </c>
      <c r="M21" s="9" t="s">
        <v>21</v>
      </c>
      <c r="N21" s="9"/>
      <c r="O21" s="24">
        <v>23</v>
      </c>
      <c r="P21" s="2" t="s">
        <v>22</v>
      </c>
      <c r="Q21" s="9"/>
      <c r="R21" s="25">
        <v>34.5</v>
      </c>
      <c r="S21" s="9"/>
      <c r="T21" s="9"/>
      <c r="U21" s="26"/>
    </row>
    <row r="22" spans="1:22" x14ac:dyDescent="0.25">
      <c r="A22" s="27" t="s">
        <v>23</v>
      </c>
      <c r="B22" s="28" t="s">
        <v>24</v>
      </c>
      <c r="C22" s="4" t="s">
        <v>25</v>
      </c>
      <c r="D22" s="29" t="s">
        <v>26</v>
      </c>
      <c r="E22" s="28" t="s">
        <v>23</v>
      </c>
      <c r="F22" s="28" t="s">
        <v>24</v>
      </c>
      <c r="G22" s="4" t="s">
        <v>27</v>
      </c>
      <c r="H22" s="29" t="s">
        <v>26</v>
      </c>
      <c r="I22" s="28" t="s">
        <v>28</v>
      </c>
      <c r="J22" s="30" t="s">
        <v>26</v>
      </c>
      <c r="L22" s="27" t="s">
        <v>23</v>
      </c>
      <c r="M22" s="28" t="s">
        <v>24</v>
      </c>
      <c r="N22" s="4" t="s">
        <v>25</v>
      </c>
      <c r="O22" s="29" t="s">
        <v>26</v>
      </c>
      <c r="P22" s="28" t="s">
        <v>23</v>
      </c>
      <c r="Q22" s="28" t="s">
        <v>24</v>
      </c>
      <c r="R22" s="4" t="s">
        <v>27</v>
      </c>
      <c r="S22" s="29" t="s">
        <v>26</v>
      </c>
      <c r="T22" s="4" t="s">
        <v>28</v>
      </c>
      <c r="U22" s="30" t="s">
        <v>26</v>
      </c>
    </row>
    <row r="23" spans="1:22" x14ac:dyDescent="0.25">
      <c r="A23" s="31">
        <v>100</v>
      </c>
      <c r="B23" s="12">
        <f>A23*B$26</f>
        <v>200</v>
      </c>
      <c r="C23" s="12">
        <f>A23*D$21</f>
        <v>2200</v>
      </c>
      <c r="D23" s="13">
        <f>C23-D$18-B23</f>
        <v>781.90000000000009</v>
      </c>
      <c r="E23" s="32">
        <v>52</v>
      </c>
      <c r="F23" s="12">
        <f>E23*B$26</f>
        <v>104</v>
      </c>
      <c r="G23" s="12">
        <f>E23*G$21</f>
        <v>2132</v>
      </c>
      <c r="H23" s="13">
        <f>G23-G$18-F23</f>
        <v>814.3</v>
      </c>
      <c r="J23" s="13">
        <f>G23-J$18-F23</f>
        <v>948.40000000000009</v>
      </c>
      <c r="L23" s="31">
        <v>100</v>
      </c>
      <c r="M23" s="33">
        <f>L23*M$26</f>
        <v>210</v>
      </c>
      <c r="N23" s="12">
        <f>L23*O$21</f>
        <v>2300</v>
      </c>
      <c r="O23" s="13">
        <f>N23-O$18-M23</f>
        <v>10.5</v>
      </c>
      <c r="P23" s="32">
        <v>52</v>
      </c>
      <c r="Q23" s="33">
        <f>P23*M$26</f>
        <v>109.2</v>
      </c>
      <c r="R23" s="12">
        <f>P23*R$21</f>
        <v>1794</v>
      </c>
      <c r="S23" s="13">
        <f>R23-R$18-Q23</f>
        <v>251.7000000000001</v>
      </c>
      <c r="U23" s="13">
        <f>R23-U$18-Q23</f>
        <v>361.7000000000001</v>
      </c>
    </row>
    <row r="24" spans="1:22" x14ac:dyDescent="0.25">
      <c r="A24" s="31">
        <v>125</v>
      </c>
      <c r="B24" s="12">
        <f>A24*B$26</f>
        <v>250</v>
      </c>
      <c r="C24" s="12">
        <f>A24*D$21</f>
        <v>2750</v>
      </c>
      <c r="D24" s="13">
        <f>C24-D$18-B24-48</f>
        <v>1233.9000000000001</v>
      </c>
      <c r="E24" s="32">
        <v>65</v>
      </c>
      <c r="F24" s="12">
        <f>E24*B$26</f>
        <v>130</v>
      </c>
      <c r="G24" s="12">
        <f t="shared" ref="G24:G25" si="7">E24*G$21</f>
        <v>2665</v>
      </c>
      <c r="H24" s="13">
        <f>G24-G$18-F24-48</f>
        <v>1273.3</v>
      </c>
      <c r="J24" s="13">
        <f>G24-J$18-F24-48</f>
        <v>1407.4</v>
      </c>
      <c r="L24" s="31">
        <v>125</v>
      </c>
      <c r="M24" s="12">
        <f>L24*M$26</f>
        <v>262.5</v>
      </c>
      <c r="N24" s="12">
        <f>L24*O$21</f>
        <v>2875</v>
      </c>
      <c r="O24" s="15">
        <f>N24-O18-M24-56</f>
        <v>477</v>
      </c>
      <c r="P24" s="32">
        <v>65</v>
      </c>
      <c r="Q24" s="33">
        <f>P24*M$26</f>
        <v>136.5</v>
      </c>
      <c r="R24" s="12">
        <f t="shared" ref="R24:R25" si="8">P24*R$21</f>
        <v>2242.5</v>
      </c>
      <c r="S24" s="13">
        <f>R24-R$18-Q24-56</f>
        <v>616.90000000000009</v>
      </c>
      <c r="U24" s="13">
        <f>R24-U$18-Q24-48</f>
        <v>734.90000000000009</v>
      </c>
    </row>
    <row r="25" spans="1:22" ht="15.75" thickBot="1" x14ac:dyDescent="0.3">
      <c r="A25" s="34">
        <v>145</v>
      </c>
      <c r="B25" s="17">
        <f>A25*B$26</f>
        <v>290</v>
      </c>
      <c r="C25" s="17">
        <f>A25*D$21</f>
        <v>3190</v>
      </c>
      <c r="D25" s="18">
        <f>C25-D$18-B25-96</f>
        <v>1585.9</v>
      </c>
      <c r="E25" s="35">
        <v>76</v>
      </c>
      <c r="F25" s="17">
        <f>E25*B$26</f>
        <v>152</v>
      </c>
      <c r="G25" s="17">
        <f t="shared" si="7"/>
        <v>3116</v>
      </c>
      <c r="H25" s="18">
        <f>G25-G$18-F25-96</f>
        <v>1654.3</v>
      </c>
      <c r="I25" s="7"/>
      <c r="J25" s="18">
        <f>G25-J$18-F25-96</f>
        <v>1788.4</v>
      </c>
      <c r="L25" s="34">
        <v>145</v>
      </c>
      <c r="M25" s="17">
        <f>L25*M$26</f>
        <v>304.5</v>
      </c>
      <c r="N25" s="17">
        <f>L25*O$21</f>
        <v>3335</v>
      </c>
      <c r="O25" s="19">
        <f>N25-O$18-M25-112</f>
        <v>839</v>
      </c>
      <c r="P25" s="35">
        <v>76</v>
      </c>
      <c r="Q25" s="36">
        <f>P25*M$26</f>
        <v>159.6</v>
      </c>
      <c r="R25" s="17">
        <f t="shared" si="8"/>
        <v>2622</v>
      </c>
      <c r="S25" s="19">
        <f>R25-R$18-Q25-112</f>
        <v>917.30000000000018</v>
      </c>
      <c r="T25" s="7"/>
      <c r="U25" s="18">
        <f>R25-U$18-Q25-96</f>
        <v>1043.3000000000002</v>
      </c>
    </row>
    <row r="26" spans="1:22" ht="15.75" thickBot="1" x14ac:dyDescent="0.3">
      <c r="A26" s="11" t="s">
        <v>29</v>
      </c>
      <c r="B26" s="12">
        <v>2</v>
      </c>
      <c r="G26" s="7"/>
      <c r="J26" s="16"/>
      <c r="L26" s="11" t="s">
        <v>29</v>
      </c>
      <c r="M26" s="12">
        <v>2.1</v>
      </c>
      <c r="R26" s="7"/>
      <c r="U26" s="16"/>
    </row>
    <row r="27" spans="1:22" ht="15.75" thickBot="1" x14ac:dyDescent="0.3">
      <c r="A27" s="2"/>
      <c r="B27" s="9" t="s">
        <v>30</v>
      </c>
      <c r="C27" s="9"/>
      <c r="D27" s="26"/>
      <c r="E27" s="37"/>
      <c r="F27" s="9" t="s">
        <v>31</v>
      </c>
      <c r="G27" s="9"/>
      <c r="H27" s="38" t="s">
        <v>32</v>
      </c>
      <c r="I27" s="9" t="s">
        <v>30</v>
      </c>
      <c r="J27" s="26" t="s">
        <v>32</v>
      </c>
      <c r="L27" s="2"/>
      <c r="M27" s="9" t="s">
        <v>30</v>
      </c>
      <c r="N27" s="9"/>
      <c r="O27" s="26"/>
      <c r="P27" s="37"/>
      <c r="Q27" s="9" t="s">
        <v>47</v>
      </c>
      <c r="R27" s="9"/>
      <c r="S27" s="38" t="s">
        <v>53</v>
      </c>
      <c r="T27" s="39" t="s">
        <v>30</v>
      </c>
      <c r="U27" s="26" t="s">
        <v>54</v>
      </c>
    </row>
    <row r="28" spans="1:22" x14ac:dyDescent="0.25">
      <c r="A28" s="27">
        <v>100</v>
      </c>
      <c r="B28" s="40">
        <f>(D$18+B23)/A28</f>
        <v>14.180999999999999</v>
      </c>
      <c r="C28" s="41"/>
      <c r="D28" s="5"/>
      <c r="E28" s="42">
        <v>40</v>
      </c>
      <c r="F28" s="40">
        <f>(G$18+F23)/E28</f>
        <v>32.942500000000003</v>
      </c>
      <c r="G28" s="41"/>
      <c r="H28" s="43">
        <f>H23/D23</f>
        <v>1.0414375239800484</v>
      </c>
      <c r="I28" s="44">
        <f>(J$18+F23)/E28</f>
        <v>29.589999999999996</v>
      </c>
      <c r="J28" s="43">
        <f>J23/D23</f>
        <v>1.2129428315641386</v>
      </c>
      <c r="L28" s="27">
        <v>100</v>
      </c>
      <c r="M28" s="40">
        <f>(O$18+M23)/L28</f>
        <v>22.895</v>
      </c>
      <c r="N28" s="41"/>
      <c r="O28" s="5"/>
      <c r="P28" s="42">
        <v>52</v>
      </c>
      <c r="Q28" s="45">
        <f>(R$18+Q23)/P28</f>
        <v>29.659615384615385</v>
      </c>
      <c r="R28" s="41"/>
      <c r="S28" s="43">
        <f>S23/(-O23)</f>
        <v>-23.971428571428582</v>
      </c>
      <c r="T28" s="46">
        <f>(U$18+Q23)/P28</f>
        <v>27.544230769230769</v>
      </c>
      <c r="U28" s="47">
        <f>U23/(-O23)</f>
        <v>-34.447619047619057</v>
      </c>
    </row>
    <row r="29" spans="1:22" x14ac:dyDescent="0.25">
      <c r="A29" s="31">
        <v>125</v>
      </c>
      <c r="B29" s="46">
        <f>(D$18+B24+48)/A29</f>
        <v>12.1288</v>
      </c>
      <c r="D29" s="16"/>
      <c r="E29" s="32">
        <v>50</v>
      </c>
      <c r="F29" s="46">
        <f>(G$18+F24+48)/E29</f>
        <v>27.834</v>
      </c>
      <c r="H29" s="47">
        <f t="shared" ref="H29:H30" si="9">H24/D24</f>
        <v>1.0319312748196774</v>
      </c>
      <c r="I29" s="12">
        <f>(J$18+F24+48)/E29</f>
        <v>25.151999999999997</v>
      </c>
      <c r="J29" s="47">
        <f t="shared" ref="J29:J30" si="10">J24/D24</f>
        <v>1.1406110705891888</v>
      </c>
      <c r="L29" s="31">
        <v>125</v>
      </c>
      <c r="M29" s="46">
        <f>(O$18+M24+48)/L29</f>
        <v>19.12</v>
      </c>
      <c r="O29" s="16"/>
      <c r="P29" s="32">
        <v>65</v>
      </c>
      <c r="Q29" s="46">
        <f>(R$18+Q24+48)/P29</f>
        <v>24.886153846153846</v>
      </c>
      <c r="S29" s="47">
        <f t="shared" ref="S29:S30" si="11">S24/O24</f>
        <v>1.2932914046121595</v>
      </c>
      <c r="T29" s="46">
        <f>(U$18+Q24+48)/P29</f>
        <v>23.193846153846152</v>
      </c>
      <c r="U29" s="47">
        <f t="shared" ref="U29:U30" si="12">U24/O24</f>
        <v>1.5406708595387844</v>
      </c>
    </row>
    <row r="30" spans="1:22" ht="15.75" thickBot="1" x14ac:dyDescent="0.3">
      <c r="A30" s="34">
        <v>145</v>
      </c>
      <c r="B30" s="20">
        <f>(D$18+B25+96)/A30</f>
        <v>11.062758620689655</v>
      </c>
      <c r="C30" s="7"/>
      <c r="D30" s="48"/>
      <c r="E30" s="35">
        <v>60</v>
      </c>
      <c r="F30" s="20">
        <f>(G$18+F25+96)/E30</f>
        <v>24.361666666666668</v>
      </c>
      <c r="G30" s="7"/>
      <c r="H30" s="49">
        <f t="shared" si="9"/>
        <v>1.0431300838640518</v>
      </c>
      <c r="I30" s="17">
        <f>(J$18+F25+96)/E30</f>
        <v>22.126666666666665</v>
      </c>
      <c r="J30" s="49">
        <f t="shared" si="10"/>
        <v>1.1276877482817327</v>
      </c>
      <c r="L30" s="34">
        <v>145</v>
      </c>
      <c r="M30" s="20">
        <f>(O$18+M25+96)/L30</f>
        <v>17.103448275862068</v>
      </c>
      <c r="N30" s="7"/>
      <c r="O30" s="48"/>
      <c r="P30" s="35">
        <v>76</v>
      </c>
      <c r="Q30" s="20">
        <f>(R$18+Q25+96)/P30</f>
        <v>22.219736842105259</v>
      </c>
      <c r="R30" s="7"/>
      <c r="S30" s="49">
        <f t="shared" si="11"/>
        <v>1.0933253873659121</v>
      </c>
      <c r="T30" s="20">
        <f>(U$18+Q25+96)/P30</f>
        <v>20.772368421052629</v>
      </c>
      <c r="U30" s="49">
        <f t="shared" si="12"/>
        <v>1.2435041716328965</v>
      </c>
    </row>
    <row r="32" spans="1:22" x14ac:dyDescent="0.25">
      <c r="A32" s="50" t="s">
        <v>33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161" t="s">
        <v>33</v>
      </c>
      <c r="M32" s="161"/>
      <c r="N32" s="161"/>
      <c r="O32" s="161"/>
      <c r="P32" s="161"/>
      <c r="Q32" s="161"/>
      <c r="R32" s="161"/>
      <c r="S32" s="161"/>
      <c r="T32" s="161"/>
      <c r="U32" s="161"/>
      <c r="V32" s="161"/>
    </row>
    <row r="33" spans="1:22" x14ac:dyDescent="0.25">
      <c r="A33" s="50" t="s">
        <v>34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161" t="s">
        <v>46</v>
      </c>
      <c r="M33" s="161"/>
      <c r="N33" s="161"/>
      <c r="O33" s="161"/>
      <c r="P33" s="161"/>
      <c r="Q33" s="161"/>
      <c r="R33" s="161"/>
      <c r="S33" s="161"/>
      <c r="T33" s="161"/>
      <c r="U33" s="161"/>
      <c r="V33" s="161"/>
    </row>
    <row r="34" spans="1:22" x14ac:dyDescent="0.25">
      <c r="A34" s="50" t="s">
        <v>35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161" t="s">
        <v>35</v>
      </c>
      <c r="M34" s="161"/>
      <c r="N34" s="161"/>
      <c r="O34" s="161"/>
      <c r="P34" s="161"/>
      <c r="Q34" s="161"/>
      <c r="R34" s="161"/>
      <c r="S34" s="161"/>
      <c r="T34" s="161"/>
      <c r="U34" s="161"/>
      <c r="V34" s="161"/>
    </row>
    <row r="35" spans="1:22" ht="13.5" customHeight="1" x14ac:dyDescent="0.25">
      <c r="A35" s="50" t="s">
        <v>45</v>
      </c>
      <c r="B35" s="50"/>
      <c r="C35" s="50"/>
      <c r="D35" s="50"/>
      <c r="E35" s="50"/>
      <c r="F35" s="50"/>
      <c r="G35" s="50"/>
      <c r="H35" s="50"/>
      <c r="I35" s="50"/>
      <c r="L35" s="161" t="s">
        <v>45</v>
      </c>
      <c r="M35" s="161"/>
      <c r="N35" s="161"/>
      <c r="O35" s="161"/>
      <c r="P35" s="161"/>
      <c r="Q35" s="161"/>
      <c r="R35" s="161"/>
      <c r="S35" s="161"/>
      <c r="T35" s="161"/>
    </row>
    <row r="36" spans="1:22" ht="15.75" thickBot="1" x14ac:dyDescent="0.3"/>
    <row r="37" spans="1:22" ht="15.75" thickBot="1" x14ac:dyDescent="0.3">
      <c r="A37" s="51"/>
      <c r="B37" s="51"/>
      <c r="C37" s="5"/>
      <c r="D37" s="42" t="s">
        <v>36</v>
      </c>
      <c r="E37" s="52" t="s">
        <v>37</v>
      </c>
      <c r="F37" s="28" t="s">
        <v>38</v>
      </c>
      <c r="G37" s="53" t="s">
        <v>39</v>
      </c>
      <c r="L37" s="1" t="s">
        <v>52</v>
      </c>
    </row>
    <row r="38" spans="1:22" ht="15.75" thickBot="1" x14ac:dyDescent="0.3">
      <c r="A38" s="51" t="s">
        <v>40</v>
      </c>
      <c r="B38" s="51"/>
      <c r="C38" s="5"/>
      <c r="D38" s="54">
        <v>1.6E-2</v>
      </c>
      <c r="E38" s="55">
        <v>8.9999999999999993E-3</v>
      </c>
      <c r="F38" s="54">
        <v>6.0000000000000001E-3</v>
      </c>
      <c r="G38" s="55">
        <v>1.9E-3</v>
      </c>
    </row>
    <row r="39" spans="1:22" ht="15.75" thickBot="1" x14ac:dyDescent="0.3">
      <c r="A39" s="6" t="s">
        <v>41</v>
      </c>
      <c r="B39" s="6" t="s">
        <v>42</v>
      </c>
      <c r="C39" s="56"/>
      <c r="D39" s="35">
        <v>96</v>
      </c>
      <c r="E39" s="57">
        <v>54</v>
      </c>
      <c r="F39" s="35">
        <v>36</v>
      </c>
      <c r="G39" s="57">
        <v>11.4</v>
      </c>
      <c r="L39" s="51"/>
      <c r="M39" s="51"/>
      <c r="N39" s="5"/>
      <c r="O39" s="42" t="s">
        <v>36</v>
      </c>
      <c r="P39" s="52" t="s">
        <v>37</v>
      </c>
      <c r="Q39" s="28" t="s">
        <v>38</v>
      </c>
      <c r="R39" s="53" t="s">
        <v>39</v>
      </c>
    </row>
    <row r="40" spans="1:22" ht="15.75" thickBot="1" x14ac:dyDescent="0.3">
      <c r="A40" s="11" t="s">
        <v>43</v>
      </c>
      <c r="B40" s="11"/>
      <c r="C40" s="16"/>
      <c r="D40" s="58">
        <v>2.3E-2</v>
      </c>
      <c r="E40" s="59">
        <v>8.9999999999999993E-3</v>
      </c>
      <c r="F40" s="58">
        <v>5.0000000000000001E-3</v>
      </c>
      <c r="G40" s="59">
        <v>2.2000000000000001E-3</v>
      </c>
      <c r="L40" s="51" t="s">
        <v>40</v>
      </c>
      <c r="M40" s="51"/>
      <c r="N40" s="5"/>
      <c r="O40" s="54">
        <v>1.6E-2</v>
      </c>
      <c r="P40" s="55">
        <v>8.9999999999999993E-3</v>
      </c>
      <c r="Q40" s="54">
        <v>6.0000000000000001E-3</v>
      </c>
      <c r="R40" s="55">
        <v>1.9E-3</v>
      </c>
    </row>
    <row r="41" spans="1:22" ht="15.75" thickBot="1" x14ac:dyDescent="0.3">
      <c r="A41" s="6" t="s">
        <v>44</v>
      </c>
      <c r="B41" s="6" t="s">
        <v>42</v>
      </c>
      <c r="C41" s="56"/>
      <c r="D41" s="35">
        <v>62</v>
      </c>
      <c r="E41" s="57">
        <v>24</v>
      </c>
      <c r="F41" s="35">
        <v>14</v>
      </c>
      <c r="G41" s="57">
        <v>6</v>
      </c>
      <c r="L41" s="6" t="s">
        <v>41</v>
      </c>
      <c r="M41" s="163" t="s">
        <v>42</v>
      </c>
      <c r="N41" s="164"/>
      <c r="O41" s="35">
        <v>96</v>
      </c>
      <c r="P41" s="57">
        <v>54</v>
      </c>
      <c r="Q41" s="35">
        <v>36</v>
      </c>
      <c r="R41" s="57">
        <v>11.4</v>
      </c>
    </row>
    <row r="42" spans="1:22" ht="15.75" thickBot="1" x14ac:dyDescent="0.3">
      <c r="L42" s="11" t="s">
        <v>43</v>
      </c>
      <c r="M42" s="11"/>
      <c r="N42" s="16"/>
      <c r="O42" s="58">
        <v>2.3E-2</v>
      </c>
      <c r="P42" s="59">
        <v>8.9999999999999993E-3</v>
      </c>
      <c r="Q42" s="58">
        <v>5.0000000000000001E-3</v>
      </c>
      <c r="R42" s="59">
        <v>2.2000000000000001E-3</v>
      </c>
    </row>
    <row r="43" spans="1:22" ht="16.5" thickBot="1" x14ac:dyDescent="0.3">
      <c r="A43" s="60"/>
      <c r="L43" s="6" t="s">
        <v>55</v>
      </c>
      <c r="M43" s="163" t="s">
        <v>42</v>
      </c>
      <c r="N43" s="164"/>
      <c r="O43" s="35">
        <v>70</v>
      </c>
      <c r="P43" s="57">
        <v>27</v>
      </c>
      <c r="Q43" s="35">
        <v>15</v>
      </c>
      <c r="R43" s="57">
        <v>6.6</v>
      </c>
    </row>
    <row r="44" spans="1:22" ht="15.75" x14ac:dyDescent="0.25">
      <c r="A44" s="60"/>
      <c r="L44" s="50" t="s">
        <v>57</v>
      </c>
    </row>
    <row r="45" spans="1:22" x14ac:dyDescent="0.25">
      <c r="L45" s="50" t="s">
        <v>58</v>
      </c>
    </row>
  </sheetData>
  <mergeCells count="14">
    <mergeCell ref="A3:H3"/>
    <mergeCell ref="C4:D4"/>
    <mergeCell ref="F4:G4"/>
    <mergeCell ref="H4:I4"/>
    <mergeCell ref="L34:V34"/>
    <mergeCell ref="L35:T35"/>
    <mergeCell ref="L3:S3"/>
    <mergeCell ref="M41:N41"/>
    <mergeCell ref="M43:N43"/>
    <mergeCell ref="N4:O4"/>
    <mergeCell ref="Q4:R4"/>
    <mergeCell ref="S4:T4"/>
    <mergeCell ref="L32:V32"/>
    <mergeCell ref="L33:V33"/>
  </mergeCells>
  <pageMargins left="0.511811024" right="0.511811024" top="0.78740157499999996" bottom="0.78740157499999996" header="0.31496062000000002" footer="0.31496062000000002"/>
  <pageSetup paperSize="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64"/>
  <sheetViews>
    <sheetView topLeftCell="A4" zoomScaleNormal="100" workbookViewId="0">
      <selection activeCell="J52" sqref="J52"/>
    </sheetView>
  </sheetViews>
  <sheetFormatPr defaultRowHeight="15" x14ac:dyDescent="0.25"/>
  <cols>
    <col min="1" max="1" width="1" style="1" customWidth="1"/>
    <col min="2" max="2" width="6.7109375" style="1" customWidth="1"/>
    <col min="3" max="3" width="1" style="1" customWidth="1"/>
    <col min="4" max="4" width="17.140625" style="1" customWidth="1"/>
    <col min="5" max="5" width="2" style="1" customWidth="1"/>
    <col min="6" max="6" width="10.85546875" style="1" customWidth="1"/>
    <col min="7" max="7" width="0.85546875" style="1" customWidth="1"/>
    <col min="8" max="8" width="11.28515625" style="1" customWidth="1"/>
    <col min="9" max="9" width="0.7109375" style="1" customWidth="1"/>
    <col min="10" max="10" width="12.5703125" style="1" customWidth="1"/>
    <col min="11" max="11" width="0.7109375" style="1" customWidth="1"/>
    <col min="12" max="12" width="13.5703125" style="1" customWidth="1"/>
    <col min="13" max="13" width="0.85546875" style="1" customWidth="1"/>
    <col min="14" max="14" width="20.85546875" style="1" customWidth="1"/>
    <col min="15" max="15" width="0.5703125" style="1" customWidth="1"/>
    <col min="16" max="16" width="14.7109375" style="1" customWidth="1"/>
    <col min="17" max="17" width="0.85546875" style="1" customWidth="1"/>
    <col min="18" max="18" width="10.28515625" style="1" customWidth="1"/>
    <col min="19" max="19" width="0.85546875" style="1" customWidth="1"/>
    <col min="20" max="20" width="9.140625" style="1"/>
    <col min="21" max="21" width="10.7109375" style="1" bestFit="1" customWidth="1"/>
    <col min="22" max="16384" width="9.140625" style="1"/>
  </cols>
  <sheetData>
    <row r="2" spans="2:21" x14ac:dyDescent="0.25">
      <c r="K2" s="170"/>
      <c r="L2" s="170"/>
      <c r="M2" s="170"/>
      <c r="N2" s="172"/>
      <c r="O2" s="172"/>
      <c r="P2" s="172"/>
      <c r="Q2" s="172"/>
    </row>
    <row r="3" spans="2:21" x14ac:dyDescent="0.25">
      <c r="K3" s="170"/>
      <c r="L3" s="170"/>
      <c r="M3" s="170"/>
      <c r="N3" s="172"/>
      <c r="O3" s="172"/>
      <c r="P3" s="172"/>
      <c r="Q3" s="172"/>
    </row>
    <row r="4" spans="2:21" x14ac:dyDescent="0.25">
      <c r="K4" s="170"/>
      <c r="L4" s="170"/>
      <c r="M4" s="170"/>
      <c r="N4" s="172"/>
      <c r="O4" s="172"/>
      <c r="P4" s="172"/>
      <c r="Q4" s="172"/>
    </row>
    <row r="5" spans="2:21" x14ac:dyDescent="0.25">
      <c r="K5" s="170"/>
      <c r="L5" s="170"/>
      <c r="M5" s="170"/>
      <c r="N5" s="172"/>
      <c r="O5" s="172"/>
      <c r="P5" s="172"/>
      <c r="Q5" s="172"/>
    </row>
    <row r="6" spans="2:21" x14ac:dyDescent="0.25">
      <c r="K6" s="170"/>
      <c r="L6" s="170"/>
      <c r="M6" s="170"/>
      <c r="N6" s="135"/>
      <c r="O6" s="136"/>
      <c r="P6" s="136"/>
      <c r="Q6" s="136"/>
    </row>
    <row r="7" spans="2:21" x14ac:dyDescent="0.25">
      <c r="K7" s="170"/>
      <c r="L7" s="170"/>
      <c r="M7" s="170"/>
      <c r="N7" s="137"/>
      <c r="O7" s="136"/>
      <c r="P7" s="136"/>
      <c r="Q7" s="136"/>
    </row>
    <row r="8" spans="2:21" ht="5.25" customHeight="1" x14ac:dyDescent="0.25">
      <c r="K8" s="170"/>
      <c r="L8" s="170"/>
      <c r="M8" s="133"/>
      <c r="N8" s="208"/>
      <c r="O8" s="136"/>
      <c r="P8" s="136"/>
      <c r="Q8" s="136"/>
    </row>
    <row r="9" spans="2:21" x14ac:dyDescent="0.25">
      <c r="D9" s="171" t="s">
        <v>109</v>
      </c>
      <c r="E9" s="171"/>
      <c r="F9" s="171"/>
      <c r="G9" s="171"/>
      <c r="H9" s="171"/>
      <c r="I9" s="171"/>
      <c r="J9" s="171"/>
      <c r="K9" s="170"/>
      <c r="L9" s="170"/>
      <c r="M9" s="134"/>
      <c r="N9" s="208"/>
      <c r="O9" s="136"/>
      <c r="P9" s="136"/>
      <c r="Q9" s="136"/>
      <c r="U9" s="61"/>
    </row>
    <row r="10" spans="2:21" x14ac:dyDescent="0.25">
      <c r="U10" s="61"/>
    </row>
    <row r="11" spans="2:21" x14ac:dyDescent="0.25">
      <c r="C11" s="62"/>
      <c r="D11" s="79" t="s">
        <v>70</v>
      </c>
      <c r="E11" s="62"/>
      <c r="F11" s="188" t="s">
        <v>129</v>
      </c>
      <c r="G11" s="188"/>
      <c r="H11" s="188"/>
      <c r="I11" s="188"/>
      <c r="J11" s="188"/>
      <c r="K11" s="188"/>
      <c r="L11" s="189" t="s">
        <v>128</v>
      </c>
      <c r="M11" s="189"/>
      <c r="N11" s="102">
        <v>49</v>
      </c>
      <c r="O11" s="63"/>
      <c r="Q11" s="63"/>
      <c r="S11" s="63"/>
    </row>
    <row r="12" spans="2:21" ht="6" customHeight="1" x14ac:dyDescent="0.25"/>
    <row r="13" spans="2:21" ht="14.25" customHeight="1" x14ac:dyDescent="0.25">
      <c r="C13" s="62"/>
      <c r="D13" s="79" t="s">
        <v>71</v>
      </c>
      <c r="E13" s="62"/>
      <c r="F13" s="68" t="s">
        <v>67</v>
      </c>
      <c r="G13" s="67"/>
      <c r="H13" s="68" t="s">
        <v>90</v>
      </c>
      <c r="I13" s="139"/>
      <c r="J13" s="68" t="s">
        <v>68</v>
      </c>
      <c r="K13" s="139"/>
      <c r="L13" s="68" t="s">
        <v>69</v>
      </c>
      <c r="M13" s="62"/>
      <c r="N13" s="190" t="s">
        <v>150</v>
      </c>
      <c r="O13" s="190"/>
      <c r="P13" s="190"/>
      <c r="Q13" s="72"/>
      <c r="S13" s="78"/>
    </row>
    <row r="14" spans="2:21" ht="3" customHeight="1" x14ac:dyDescent="0.25">
      <c r="B14" s="64"/>
      <c r="G14" s="133"/>
      <c r="I14" s="133"/>
      <c r="K14" s="133"/>
    </row>
    <row r="15" spans="2:21" ht="15" customHeight="1" x14ac:dyDescent="0.25">
      <c r="B15" s="185" t="s">
        <v>113</v>
      </c>
      <c r="C15" s="65"/>
      <c r="D15" s="82" t="s">
        <v>72</v>
      </c>
      <c r="E15" s="83"/>
      <c r="F15" s="84">
        <v>3</v>
      </c>
      <c r="G15" s="143"/>
      <c r="H15" s="85">
        <v>1</v>
      </c>
      <c r="I15" s="143"/>
      <c r="J15" s="86">
        <v>18</v>
      </c>
      <c r="K15" s="143"/>
      <c r="L15" s="103">
        <f>((F15)*(H15)*(J15))</f>
        <v>54</v>
      </c>
      <c r="N15" s="69" t="s">
        <v>61</v>
      </c>
      <c r="O15" s="73"/>
      <c r="P15" s="121">
        <f>SUM((L15:L18))</f>
        <v>54</v>
      </c>
    </row>
    <row r="16" spans="2:21" ht="15" customHeight="1" x14ac:dyDescent="0.25">
      <c r="B16" s="186"/>
      <c r="C16" s="65"/>
      <c r="D16" s="87" t="s">
        <v>73</v>
      </c>
      <c r="E16" s="88"/>
      <c r="F16" s="89">
        <v>0</v>
      </c>
      <c r="G16" s="112"/>
      <c r="H16" s="90">
        <v>0</v>
      </c>
      <c r="I16" s="112"/>
      <c r="J16" s="91">
        <v>0</v>
      </c>
      <c r="K16" s="112"/>
      <c r="L16" s="104">
        <f t="shared" ref="L16:L33" si="0">((F16)*(H16)*(J16))</f>
        <v>0</v>
      </c>
      <c r="N16" s="70" t="s">
        <v>115</v>
      </c>
      <c r="O16" s="74"/>
      <c r="P16" s="122">
        <f>SUM((L20:L23))</f>
        <v>486</v>
      </c>
    </row>
    <row r="17" spans="1:16" ht="15" customHeight="1" x14ac:dyDescent="0.25">
      <c r="B17" s="186"/>
      <c r="C17" s="65"/>
      <c r="D17" s="87" t="s">
        <v>74</v>
      </c>
      <c r="E17" s="88"/>
      <c r="F17" s="89">
        <v>0</v>
      </c>
      <c r="G17" s="112"/>
      <c r="H17" s="90">
        <v>0</v>
      </c>
      <c r="I17" s="112"/>
      <c r="J17" s="91">
        <v>0</v>
      </c>
      <c r="K17" s="112"/>
      <c r="L17" s="104">
        <f t="shared" si="0"/>
        <v>0</v>
      </c>
      <c r="N17" s="70" t="s">
        <v>63</v>
      </c>
      <c r="O17" s="74"/>
      <c r="P17" s="122">
        <f>SUM((L25:L28))</f>
        <v>1305</v>
      </c>
    </row>
    <row r="18" spans="1:16" ht="15" customHeight="1" x14ac:dyDescent="0.25">
      <c r="B18" s="187"/>
      <c r="C18" s="65"/>
      <c r="D18" s="92" t="s">
        <v>75</v>
      </c>
      <c r="E18" s="93"/>
      <c r="F18" s="94">
        <v>0</v>
      </c>
      <c r="G18" s="144"/>
      <c r="H18" s="95">
        <v>0</v>
      </c>
      <c r="I18" s="144"/>
      <c r="J18" s="96">
        <v>0</v>
      </c>
      <c r="K18" s="144"/>
      <c r="L18" s="105">
        <f t="shared" si="0"/>
        <v>0</v>
      </c>
      <c r="N18" s="70" t="s">
        <v>118</v>
      </c>
      <c r="O18" s="74"/>
      <c r="P18" s="122">
        <f>SUM((L30:L33))</f>
        <v>89.4</v>
      </c>
    </row>
    <row r="19" spans="1:16" ht="3.75" customHeight="1" x14ac:dyDescent="0.25">
      <c r="A19" s="1" t="s">
        <v>103</v>
      </c>
      <c r="B19" s="64"/>
      <c r="C19" s="65"/>
      <c r="D19" s="65"/>
      <c r="E19" s="65"/>
      <c r="F19" s="65"/>
      <c r="G19" s="132"/>
      <c r="H19" s="66"/>
      <c r="I19" s="132"/>
      <c r="J19" s="65"/>
      <c r="K19" s="132"/>
      <c r="L19" s="65"/>
      <c r="N19" s="191" t="s">
        <v>116</v>
      </c>
      <c r="O19" s="193"/>
      <c r="P19" s="206">
        <f>SUM((L35:L38))</f>
        <v>202</v>
      </c>
    </row>
    <row r="20" spans="1:16" ht="13.5" customHeight="1" x14ac:dyDescent="0.25">
      <c r="B20" s="185" t="s">
        <v>114</v>
      </c>
      <c r="C20" s="65"/>
      <c r="D20" s="82" t="s">
        <v>126</v>
      </c>
      <c r="E20" s="83"/>
      <c r="F20" s="84">
        <v>270</v>
      </c>
      <c r="G20" s="143"/>
      <c r="H20" s="85">
        <v>0</v>
      </c>
      <c r="I20" s="143"/>
      <c r="J20" s="86">
        <v>1.75</v>
      </c>
      <c r="K20" s="143"/>
      <c r="L20" s="103">
        <f>((F20)*(H20)*(J20))</f>
        <v>0</v>
      </c>
      <c r="N20" s="192"/>
      <c r="O20" s="194"/>
      <c r="P20" s="207"/>
    </row>
    <row r="21" spans="1:16" ht="15" customHeight="1" x14ac:dyDescent="0.25">
      <c r="B21" s="186"/>
      <c r="C21" s="65"/>
      <c r="D21" s="87" t="s">
        <v>151</v>
      </c>
      <c r="E21" s="88"/>
      <c r="F21" s="89">
        <v>270</v>
      </c>
      <c r="G21" s="112"/>
      <c r="H21" s="90">
        <v>1</v>
      </c>
      <c r="I21" s="112"/>
      <c r="J21" s="91">
        <v>1.8</v>
      </c>
      <c r="K21" s="112"/>
      <c r="L21" s="104">
        <f t="shared" ref="L21:L23" si="1">((F21)*(H21)*(J21))</f>
        <v>486</v>
      </c>
      <c r="N21" s="75" t="s">
        <v>117</v>
      </c>
      <c r="O21" s="76"/>
      <c r="P21" s="123">
        <f>SUM((L40:L43))</f>
        <v>330</v>
      </c>
    </row>
    <row r="22" spans="1:16" ht="15" customHeight="1" x14ac:dyDescent="0.25">
      <c r="B22" s="186"/>
      <c r="C22" s="65"/>
      <c r="D22" s="87" t="s">
        <v>152</v>
      </c>
      <c r="E22" s="88"/>
      <c r="F22" s="89">
        <v>270</v>
      </c>
      <c r="G22" s="112"/>
      <c r="H22" s="90">
        <v>0</v>
      </c>
      <c r="I22" s="112"/>
      <c r="J22" s="91">
        <v>1.8</v>
      </c>
      <c r="K22" s="112"/>
      <c r="L22" s="104">
        <f t="shared" si="1"/>
        <v>0</v>
      </c>
      <c r="N22" s="70" t="s">
        <v>91</v>
      </c>
      <c r="O22" s="74"/>
      <c r="P22" s="122">
        <f>SUM((L45:L48))</f>
        <v>75</v>
      </c>
    </row>
    <row r="23" spans="1:16" ht="15" customHeight="1" x14ac:dyDescent="0.25">
      <c r="B23" s="187"/>
      <c r="C23" s="65"/>
      <c r="D23" s="92" t="s">
        <v>127</v>
      </c>
      <c r="E23" s="93"/>
      <c r="F23" s="94">
        <v>280</v>
      </c>
      <c r="G23" s="144"/>
      <c r="H23" s="95">
        <v>0</v>
      </c>
      <c r="I23" s="144"/>
      <c r="J23" s="96">
        <v>0</v>
      </c>
      <c r="K23" s="144"/>
      <c r="L23" s="105">
        <f t="shared" si="1"/>
        <v>0</v>
      </c>
      <c r="N23" s="70" t="s">
        <v>121</v>
      </c>
      <c r="O23" s="74"/>
      <c r="P23" s="122">
        <f>SUM((L50:L53))</f>
        <v>279</v>
      </c>
    </row>
    <row r="24" spans="1:16" ht="3.75" customHeight="1" x14ac:dyDescent="0.25">
      <c r="A24" s="1" t="s">
        <v>103</v>
      </c>
      <c r="B24" s="64"/>
      <c r="C24" s="65"/>
      <c r="D24" s="65"/>
      <c r="E24" s="65"/>
      <c r="F24" s="65"/>
      <c r="G24" s="132"/>
      <c r="H24" s="66"/>
      <c r="I24" s="132"/>
      <c r="J24" s="65"/>
      <c r="K24" s="132"/>
      <c r="L24" s="65"/>
      <c r="N24" s="179" t="s">
        <v>99</v>
      </c>
      <c r="O24" s="181"/>
      <c r="P24" s="183">
        <f>SUM((L55:L58))</f>
        <v>620.79999999999995</v>
      </c>
    </row>
    <row r="25" spans="1:16" ht="12.75" customHeight="1" x14ac:dyDescent="0.25">
      <c r="B25" s="185" t="s">
        <v>112</v>
      </c>
      <c r="C25" s="65"/>
      <c r="D25" s="82" t="s">
        <v>96</v>
      </c>
      <c r="E25" s="83"/>
      <c r="F25" s="84">
        <v>0.6</v>
      </c>
      <c r="G25" s="143"/>
      <c r="H25" s="85">
        <v>1</v>
      </c>
      <c r="I25" s="146"/>
      <c r="J25" s="86">
        <v>1700</v>
      </c>
      <c r="K25" s="146"/>
      <c r="L25" s="103">
        <f>((F25)*(H25)*(J25))</f>
        <v>1020</v>
      </c>
      <c r="N25" s="180"/>
      <c r="O25" s="182"/>
      <c r="P25" s="184"/>
    </row>
    <row r="26" spans="1:16" ht="15" customHeight="1" x14ac:dyDescent="0.25">
      <c r="B26" s="186"/>
      <c r="C26" s="65"/>
      <c r="D26" s="87" t="s">
        <v>76</v>
      </c>
      <c r="E26" s="88"/>
      <c r="F26" s="89">
        <v>0</v>
      </c>
      <c r="G26" s="112"/>
      <c r="H26" s="90">
        <v>0</v>
      </c>
      <c r="I26" s="147"/>
      <c r="J26" s="91">
        <v>0</v>
      </c>
      <c r="K26" s="147"/>
      <c r="L26" s="104">
        <f t="shared" si="0"/>
        <v>0</v>
      </c>
      <c r="N26" s="98"/>
      <c r="P26" s="97"/>
    </row>
    <row r="27" spans="1:16" ht="15" customHeight="1" x14ac:dyDescent="0.25">
      <c r="B27" s="186"/>
      <c r="C27" s="65"/>
      <c r="D27" s="87" t="s">
        <v>77</v>
      </c>
      <c r="E27" s="88"/>
      <c r="F27" s="89">
        <v>0.15</v>
      </c>
      <c r="G27" s="112"/>
      <c r="H27" s="90">
        <v>1</v>
      </c>
      <c r="I27" s="147"/>
      <c r="J27" s="91">
        <v>1900</v>
      </c>
      <c r="K27" s="147"/>
      <c r="L27" s="104">
        <f t="shared" si="0"/>
        <v>285</v>
      </c>
      <c r="N27" s="100" t="s">
        <v>119</v>
      </c>
      <c r="O27" s="101"/>
      <c r="P27" s="124">
        <f>SUM((P15:P25))</f>
        <v>3441.2</v>
      </c>
    </row>
    <row r="28" spans="1:16" ht="15" customHeight="1" x14ac:dyDescent="0.25">
      <c r="B28" s="187"/>
      <c r="C28" s="65"/>
      <c r="D28" s="92" t="s">
        <v>78</v>
      </c>
      <c r="E28" s="93"/>
      <c r="F28" s="94">
        <v>0</v>
      </c>
      <c r="G28" s="144"/>
      <c r="H28" s="95">
        <v>0</v>
      </c>
      <c r="I28" s="148"/>
      <c r="J28" s="96">
        <v>0</v>
      </c>
      <c r="K28" s="148"/>
      <c r="L28" s="105">
        <f t="shared" si="0"/>
        <v>0</v>
      </c>
      <c r="N28" s="98"/>
      <c r="P28" s="97"/>
    </row>
    <row r="29" spans="1:16" ht="3.75" customHeight="1" x14ac:dyDescent="0.25">
      <c r="A29" s="1" t="s">
        <v>103</v>
      </c>
      <c r="B29" s="64"/>
      <c r="C29" s="65"/>
      <c r="D29" s="80"/>
      <c r="E29" s="80"/>
      <c r="F29" s="80"/>
      <c r="G29" s="145"/>
      <c r="H29" s="81"/>
      <c r="I29" s="145"/>
      <c r="J29" s="80"/>
      <c r="K29" s="145"/>
      <c r="L29" s="80"/>
    </row>
    <row r="30" spans="1:16" ht="15" customHeight="1" x14ac:dyDescent="0.25">
      <c r="B30" s="201" t="s">
        <v>104</v>
      </c>
      <c r="C30" s="65"/>
      <c r="D30" s="82" t="s">
        <v>132</v>
      </c>
      <c r="E30" s="83"/>
      <c r="F30" s="84">
        <v>0.6</v>
      </c>
      <c r="G30" s="143"/>
      <c r="H30" s="85">
        <v>1</v>
      </c>
      <c r="I30" s="143"/>
      <c r="J30" s="86">
        <v>50</v>
      </c>
      <c r="K30" s="143"/>
      <c r="L30" s="103">
        <f>((F30)*(H30)*(J30))</f>
        <v>30</v>
      </c>
      <c r="N30" s="204"/>
      <c r="O30" s="204"/>
      <c r="P30" s="99"/>
    </row>
    <row r="31" spans="1:16" ht="15" customHeight="1" x14ac:dyDescent="0.25">
      <c r="B31" s="202"/>
      <c r="C31" s="65"/>
      <c r="D31" s="87" t="s">
        <v>80</v>
      </c>
      <c r="E31" s="88"/>
      <c r="F31" s="89">
        <v>1.5</v>
      </c>
      <c r="G31" s="112"/>
      <c r="H31" s="90">
        <v>0</v>
      </c>
      <c r="I31" s="112"/>
      <c r="J31" s="91">
        <v>250</v>
      </c>
      <c r="K31" s="112"/>
      <c r="L31" s="104">
        <f t="shared" si="0"/>
        <v>0</v>
      </c>
    </row>
    <row r="32" spans="1:16" ht="15" customHeight="1" x14ac:dyDescent="0.25">
      <c r="B32" s="202"/>
      <c r="C32" s="65"/>
      <c r="D32" s="87" t="s">
        <v>154</v>
      </c>
      <c r="E32" s="88"/>
      <c r="F32" s="89">
        <v>20</v>
      </c>
      <c r="G32" s="112"/>
      <c r="H32" s="90"/>
      <c r="I32" s="112"/>
      <c r="J32" s="91">
        <v>0</v>
      </c>
      <c r="K32" s="112"/>
      <c r="L32" s="104">
        <f t="shared" si="0"/>
        <v>0</v>
      </c>
    </row>
    <row r="33" spans="1:20" ht="15" customHeight="1" x14ac:dyDescent="0.25">
      <c r="B33" s="203"/>
      <c r="C33" s="65"/>
      <c r="D33" s="92" t="s">
        <v>82</v>
      </c>
      <c r="E33" s="93"/>
      <c r="F33" s="94">
        <v>0.1</v>
      </c>
      <c r="G33" s="144"/>
      <c r="H33" s="149">
        <f>F20/100</f>
        <v>2.7</v>
      </c>
      <c r="I33" s="144"/>
      <c r="J33" s="96">
        <v>220</v>
      </c>
      <c r="K33" s="144"/>
      <c r="L33" s="105">
        <f t="shared" si="0"/>
        <v>59.400000000000006</v>
      </c>
      <c r="N33" s="205"/>
      <c r="O33" s="77"/>
      <c r="P33" s="205"/>
      <c r="Q33" s="77"/>
      <c r="R33" s="205"/>
      <c r="S33" s="77"/>
      <c r="T33" s="205"/>
    </row>
    <row r="34" spans="1:20" ht="3.75" customHeight="1" x14ac:dyDescent="0.25">
      <c r="A34" s="1" t="s">
        <v>103</v>
      </c>
      <c r="B34" s="64"/>
      <c r="C34" s="65"/>
      <c r="D34" s="80"/>
      <c r="E34" s="80"/>
      <c r="F34" s="80"/>
      <c r="G34" s="145"/>
      <c r="H34" s="81"/>
      <c r="I34" s="145"/>
      <c r="J34" s="80"/>
      <c r="K34" s="145"/>
      <c r="L34" s="80"/>
      <c r="N34" s="205"/>
      <c r="O34" s="77"/>
      <c r="P34" s="205"/>
      <c r="Q34" s="77"/>
      <c r="R34" s="205"/>
      <c r="S34" s="77"/>
      <c r="T34" s="205"/>
    </row>
    <row r="35" spans="1:20" ht="15" customHeight="1" x14ac:dyDescent="0.25">
      <c r="B35" s="201" t="s">
        <v>83</v>
      </c>
      <c r="C35" s="65"/>
      <c r="D35" s="82" t="s">
        <v>137</v>
      </c>
      <c r="E35" s="83"/>
      <c r="F35" s="84">
        <v>0.24</v>
      </c>
      <c r="G35" s="143"/>
      <c r="H35" s="85">
        <v>1</v>
      </c>
      <c r="I35" s="143"/>
      <c r="J35" s="86">
        <v>175</v>
      </c>
      <c r="K35" s="143"/>
      <c r="L35" s="103">
        <f>((F35)*(H35)*(J35))</f>
        <v>42</v>
      </c>
      <c r="N35" s="71"/>
    </row>
    <row r="36" spans="1:20" ht="15" customHeight="1" x14ac:dyDescent="0.25">
      <c r="B36" s="202"/>
      <c r="C36" s="65"/>
      <c r="D36" s="87" t="s">
        <v>138</v>
      </c>
      <c r="E36" s="88"/>
      <c r="F36" s="89">
        <v>7.0000000000000007E-2</v>
      </c>
      <c r="G36" s="112"/>
      <c r="H36" s="90"/>
      <c r="I36" s="112"/>
      <c r="J36" s="91">
        <v>80</v>
      </c>
      <c r="K36" s="112"/>
      <c r="L36" s="104">
        <f t="shared" ref="L36:L38" si="2">((F36)*(H36)*(J36))</f>
        <v>0</v>
      </c>
      <c r="N36" s="71"/>
    </row>
    <row r="37" spans="1:20" ht="15" customHeight="1" x14ac:dyDescent="0.25">
      <c r="B37" s="202"/>
      <c r="C37" s="65"/>
      <c r="D37" s="87" t="s">
        <v>147</v>
      </c>
      <c r="E37" s="88"/>
      <c r="F37" s="89">
        <v>2</v>
      </c>
      <c r="G37" s="112"/>
      <c r="H37" s="90">
        <v>1</v>
      </c>
      <c r="I37" s="112"/>
      <c r="J37" s="91">
        <v>80</v>
      </c>
      <c r="K37" s="112"/>
      <c r="L37" s="104">
        <f t="shared" si="2"/>
        <v>160</v>
      </c>
      <c r="N37" s="71"/>
    </row>
    <row r="38" spans="1:20" ht="15" customHeight="1" x14ac:dyDescent="0.25">
      <c r="B38" s="203"/>
      <c r="C38" s="65"/>
      <c r="D38" s="92" t="s">
        <v>139</v>
      </c>
      <c r="E38" s="93"/>
      <c r="F38" s="94">
        <v>0</v>
      </c>
      <c r="G38" s="144"/>
      <c r="H38" s="95"/>
      <c r="I38" s="144"/>
      <c r="J38" s="96">
        <v>0</v>
      </c>
      <c r="K38" s="144"/>
      <c r="L38" s="105">
        <f t="shared" si="2"/>
        <v>0</v>
      </c>
      <c r="N38" s="71"/>
    </row>
    <row r="39" spans="1:20" ht="3.75" customHeight="1" x14ac:dyDescent="0.25">
      <c r="A39" s="1" t="s">
        <v>103</v>
      </c>
      <c r="B39" s="64"/>
      <c r="C39" s="65"/>
      <c r="D39" s="80"/>
      <c r="E39" s="80"/>
      <c r="F39" s="80"/>
      <c r="G39" s="145"/>
      <c r="H39" s="81"/>
      <c r="I39" s="145"/>
      <c r="J39" s="80"/>
      <c r="K39" s="145"/>
      <c r="L39" s="80"/>
    </row>
    <row r="40" spans="1:20" ht="15" customHeight="1" x14ac:dyDescent="0.25">
      <c r="B40" s="201" t="s">
        <v>14</v>
      </c>
      <c r="C40" s="65"/>
      <c r="D40" s="82" t="s">
        <v>88</v>
      </c>
      <c r="E40" s="83"/>
      <c r="F40" s="84">
        <v>1.8</v>
      </c>
      <c r="G40" s="143"/>
      <c r="H40" s="85">
        <v>2</v>
      </c>
      <c r="I40" s="143"/>
      <c r="J40" s="86">
        <v>50</v>
      </c>
      <c r="K40" s="143"/>
      <c r="L40" s="103">
        <f>((F40)*(H40)*(J40))</f>
        <v>180</v>
      </c>
    </row>
    <row r="41" spans="1:20" ht="15" customHeight="1" x14ac:dyDescent="0.25">
      <c r="B41" s="202"/>
      <c r="C41" s="65"/>
      <c r="D41" s="87" t="s">
        <v>141</v>
      </c>
      <c r="E41" s="88"/>
      <c r="F41" s="89">
        <v>1.8</v>
      </c>
      <c r="G41" s="112"/>
      <c r="H41" s="90">
        <v>0</v>
      </c>
      <c r="I41" s="112"/>
      <c r="J41" s="91">
        <v>0</v>
      </c>
      <c r="K41" s="112"/>
      <c r="L41" s="104">
        <f t="shared" ref="L41:L43" si="3">((F41)*(H41)*(J41))</f>
        <v>0</v>
      </c>
    </row>
    <row r="42" spans="1:20" ht="15" customHeight="1" x14ac:dyDescent="0.25">
      <c r="B42" s="202"/>
      <c r="C42" s="65"/>
      <c r="D42" s="87" t="s">
        <v>140</v>
      </c>
      <c r="E42" s="88"/>
      <c r="F42" s="89">
        <v>6</v>
      </c>
      <c r="G42" s="112"/>
      <c r="H42" s="90">
        <v>1</v>
      </c>
      <c r="I42" s="112"/>
      <c r="J42" s="91">
        <v>25</v>
      </c>
      <c r="K42" s="112"/>
      <c r="L42" s="104">
        <f t="shared" si="3"/>
        <v>150</v>
      </c>
    </row>
    <row r="43" spans="1:20" ht="15" customHeight="1" x14ac:dyDescent="0.25">
      <c r="B43" s="203"/>
      <c r="C43" s="65"/>
      <c r="D43" s="92" t="s">
        <v>153</v>
      </c>
      <c r="E43" s="93"/>
      <c r="F43" s="94">
        <v>2.4</v>
      </c>
      <c r="G43" s="144"/>
      <c r="H43" s="95">
        <v>0</v>
      </c>
      <c r="I43" s="144"/>
      <c r="J43" s="96">
        <v>0</v>
      </c>
      <c r="K43" s="144"/>
      <c r="L43" s="105">
        <f t="shared" si="3"/>
        <v>0</v>
      </c>
    </row>
    <row r="44" spans="1:20" ht="3.75" customHeight="1" x14ac:dyDescent="0.25">
      <c r="A44" s="1" t="s">
        <v>103</v>
      </c>
      <c r="B44" s="64"/>
      <c r="C44" s="65"/>
      <c r="D44" s="80"/>
      <c r="E44" s="80"/>
      <c r="F44" s="80"/>
      <c r="G44" s="145"/>
      <c r="H44" s="81"/>
      <c r="I44" s="145"/>
      <c r="J44" s="80"/>
      <c r="K44" s="145"/>
      <c r="L44" s="80"/>
    </row>
    <row r="45" spans="1:20" ht="15" customHeight="1" x14ac:dyDescent="0.25">
      <c r="B45" s="201" t="s">
        <v>91</v>
      </c>
      <c r="C45" s="65"/>
      <c r="D45" s="82" t="s">
        <v>92</v>
      </c>
      <c r="E45" s="83"/>
      <c r="F45" s="84">
        <v>0</v>
      </c>
      <c r="G45" s="143"/>
      <c r="H45" s="85">
        <v>0</v>
      </c>
      <c r="I45" s="143"/>
      <c r="J45" s="86">
        <v>0</v>
      </c>
      <c r="K45" s="143"/>
      <c r="L45" s="103">
        <f>((F45)*(H45)*(J45))</f>
        <v>0</v>
      </c>
    </row>
    <row r="46" spans="1:20" ht="15" customHeight="1" x14ac:dyDescent="0.25">
      <c r="B46" s="202"/>
      <c r="C46" s="65"/>
      <c r="D46" s="87" t="s">
        <v>93</v>
      </c>
      <c r="E46" s="88"/>
      <c r="F46" s="89">
        <v>0</v>
      </c>
      <c r="G46" s="112"/>
      <c r="H46" s="90">
        <v>0</v>
      </c>
      <c r="I46" s="112"/>
      <c r="J46" s="91">
        <v>0</v>
      </c>
      <c r="K46" s="112"/>
      <c r="L46" s="104">
        <f t="shared" ref="L46:L48" si="4">((F46)*(H46)*(J46))</f>
        <v>0</v>
      </c>
    </row>
    <row r="47" spans="1:20" ht="15" customHeight="1" x14ac:dyDescent="0.25">
      <c r="B47" s="202"/>
      <c r="C47" s="65"/>
      <c r="D47" s="87" t="s">
        <v>94</v>
      </c>
      <c r="E47" s="88"/>
      <c r="F47" s="89">
        <v>0.5</v>
      </c>
      <c r="G47" s="112"/>
      <c r="H47" s="90">
        <v>1</v>
      </c>
      <c r="I47" s="112"/>
      <c r="J47" s="91">
        <v>150</v>
      </c>
      <c r="K47" s="112"/>
      <c r="L47" s="104">
        <f t="shared" si="4"/>
        <v>75</v>
      </c>
    </row>
    <row r="48" spans="1:20" ht="15" customHeight="1" x14ac:dyDescent="0.25">
      <c r="B48" s="203"/>
      <c r="C48" s="65"/>
      <c r="D48" s="92" t="s">
        <v>95</v>
      </c>
      <c r="E48" s="93"/>
      <c r="F48" s="94">
        <v>0</v>
      </c>
      <c r="G48" s="144"/>
      <c r="H48" s="95">
        <v>0</v>
      </c>
      <c r="I48" s="144"/>
      <c r="J48" s="96">
        <v>0</v>
      </c>
      <c r="K48" s="144"/>
      <c r="L48" s="105">
        <f t="shared" si="4"/>
        <v>0</v>
      </c>
    </row>
    <row r="49" spans="1:12" ht="3.75" customHeight="1" x14ac:dyDescent="0.25">
      <c r="A49" s="1" t="s">
        <v>103</v>
      </c>
      <c r="B49" s="64"/>
      <c r="C49" s="65"/>
      <c r="D49" s="80"/>
      <c r="E49" s="80"/>
      <c r="F49" s="80"/>
      <c r="G49" s="145"/>
      <c r="H49" s="81"/>
      <c r="I49" s="145"/>
      <c r="J49" s="80"/>
      <c r="K49" s="145"/>
      <c r="L49" s="80"/>
    </row>
    <row r="50" spans="1:12" ht="15" customHeight="1" x14ac:dyDescent="0.25">
      <c r="B50" s="176" t="s">
        <v>110</v>
      </c>
      <c r="C50" s="65"/>
      <c r="D50" s="82" t="s">
        <v>135</v>
      </c>
      <c r="E50" s="83"/>
      <c r="F50" s="84">
        <v>0.5</v>
      </c>
      <c r="G50" s="143"/>
      <c r="H50" s="85">
        <v>0</v>
      </c>
      <c r="I50" s="143"/>
      <c r="J50" s="86">
        <v>0</v>
      </c>
      <c r="K50" s="143"/>
      <c r="L50" s="103">
        <f>((F50)*(H50)*(J50))</f>
        <v>0</v>
      </c>
    </row>
    <row r="51" spans="1:12" ht="19.5" customHeight="1" x14ac:dyDescent="0.25">
      <c r="B51" s="177"/>
      <c r="D51" s="87" t="s">
        <v>133</v>
      </c>
      <c r="E51" s="88"/>
      <c r="F51" s="89">
        <v>0.6</v>
      </c>
      <c r="G51" s="112"/>
      <c r="H51" s="90">
        <v>1</v>
      </c>
      <c r="I51" s="112"/>
      <c r="J51" s="91">
        <v>450</v>
      </c>
      <c r="K51" s="112"/>
      <c r="L51" s="104">
        <f t="shared" ref="L51:L53" si="5">((F51)*(H51)*(J51))</f>
        <v>270</v>
      </c>
    </row>
    <row r="52" spans="1:12" ht="15" customHeight="1" x14ac:dyDescent="0.25">
      <c r="B52" s="177"/>
      <c r="D52" s="87" t="s">
        <v>134</v>
      </c>
      <c r="E52" s="88"/>
      <c r="F52" s="89">
        <v>1.5</v>
      </c>
      <c r="G52" s="112"/>
      <c r="H52" s="90">
        <v>0</v>
      </c>
      <c r="I52" s="112"/>
      <c r="J52" s="91">
        <v>0</v>
      </c>
      <c r="K52" s="112"/>
      <c r="L52" s="104">
        <f t="shared" si="5"/>
        <v>0</v>
      </c>
    </row>
    <row r="53" spans="1:12" ht="18.75" customHeight="1" x14ac:dyDescent="0.25">
      <c r="B53" s="178"/>
      <c r="D53" s="92" t="s">
        <v>136</v>
      </c>
      <c r="E53" s="93"/>
      <c r="F53" s="94">
        <v>5.0000000000000001E-3</v>
      </c>
      <c r="G53" s="144"/>
      <c r="H53" s="95">
        <v>1</v>
      </c>
      <c r="I53" s="144"/>
      <c r="J53" s="96">
        <v>1800</v>
      </c>
      <c r="K53" s="144"/>
      <c r="L53" s="105">
        <f t="shared" si="5"/>
        <v>9</v>
      </c>
    </row>
    <row r="54" spans="1:12" ht="3.75" customHeight="1" x14ac:dyDescent="0.25">
      <c r="A54" s="1" t="s">
        <v>103</v>
      </c>
      <c r="B54" s="64"/>
      <c r="C54" s="65"/>
      <c r="D54" s="80"/>
      <c r="E54" s="80"/>
      <c r="F54" s="80"/>
      <c r="G54" s="145"/>
      <c r="H54" s="81"/>
      <c r="I54" s="145"/>
      <c r="J54" s="80"/>
      <c r="K54" s="145"/>
      <c r="L54" s="80"/>
    </row>
    <row r="55" spans="1:12" ht="15" customHeight="1" x14ac:dyDescent="0.25">
      <c r="B55" s="173" t="s">
        <v>120</v>
      </c>
      <c r="C55" s="65"/>
      <c r="D55" s="82" t="s">
        <v>100</v>
      </c>
      <c r="E55" s="83"/>
      <c r="F55" s="84">
        <v>1</v>
      </c>
      <c r="G55" s="143"/>
      <c r="H55" s="85">
        <v>3</v>
      </c>
      <c r="I55" s="143"/>
      <c r="J55" s="86">
        <v>110</v>
      </c>
      <c r="K55" s="143"/>
      <c r="L55" s="103">
        <f>((F55)*(H55)*(J55))</f>
        <v>330</v>
      </c>
    </row>
    <row r="56" spans="1:12" ht="15" customHeight="1" x14ac:dyDescent="0.25">
      <c r="B56" s="174"/>
      <c r="D56" s="87" t="s">
        <v>18</v>
      </c>
      <c r="E56" s="88"/>
      <c r="F56" s="89">
        <v>1</v>
      </c>
      <c r="G56" s="112"/>
      <c r="H56" s="90">
        <v>1</v>
      </c>
      <c r="I56" s="112"/>
      <c r="J56" s="91">
        <v>27</v>
      </c>
      <c r="K56" s="112"/>
      <c r="L56" s="104">
        <f t="shared" ref="L56:L58" si="6">((F56)*(H56)*(J56))</f>
        <v>27</v>
      </c>
    </row>
    <row r="57" spans="1:12" ht="15" customHeight="1" x14ac:dyDescent="0.25">
      <c r="B57" s="174"/>
      <c r="D57" s="87" t="s">
        <v>101</v>
      </c>
      <c r="E57" s="88"/>
      <c r="F57" s="89">
        <v>1</v>
      </c>
      <c r="G57" s="112"/>
      <c r="H57" s="90">
        <v>1</v>
      </c>
      <c r="I57" s="112"/>
      <c r="J57" s="91">
        <v>1.3</v>
      </c>
      <c r="K57" s="112"/>
      <c r="L57" s="104">
        <f t="shared" si="6"/>
        <v>1.3</v>
      </c>
    </row>
    <row r="58" spans="1:12" ht="15" customHeight="1" x14ac:dyDescent="0.25">
      <c r="B58" s="175"/>
      <c r="D58" s="92" t="s">
        <v>102</v>
      </c>
      <c r="E58" s="93"/>
      <c r="F58" s="94">
        <v>1</v>
      </c>
      <c r="G58" s="144"/>
      <c r="H58" s="95">
        <v>75</v>
      </c>
      <c r="I58" s="144"/>
      <c r="J58" s="96">
        <v>3.5</v>
      </c>
      <c r="K58" s="144"/>
      <c r="L58" s="105">
        <f t="shared" si="6"/>
        <v>262.5</v>
      </c>
    </row>
    <row r="59" spans="1:12" ht="3.75" customHeight="1" x14ac:dyDescent="0.25">
      <c r="A59" s="1" t="s">
        <v>103</v>
      </c>
      <c r="B59" s="64"/>
      <c r="C59" s="65"/>
      <c r="D59" s="80"/>
      <c r="E59" s="80"/>
      <c r="F59" s="80"/>
      <c r="G59" s="80"/>
      <c r="H59" s="81"/>
      <c r="I59" s="145"/>
      <c r="J59" s="80"/>
      <c r="K59" s="145"/>
      <c r="L59" s="80"/>
    </row>
    <row r="60" spans="1:12" ht="15" customHeight="1" x14ac:dyDescent="0.25">
      <c r="B60" s="195" t="s">
        <v>20</v>
      </c>
      <c r="D60" s="106" t="s">
        <v>143</v>
      </c>
      <c r="E60" s="107"/>
      <c r="F60" s="108"/>
      <c r="G60" s="198" t="s">
        <v>107</v>
      </c>
      <c r="H60" s="198"/>
      <c r="I60" s="198"/>
      <c r="J60" s="108" t="s">
        <v>105</v>
      </c>
      <c r="K60" s="109"/>
      <c r="L60" s="110" t="s">
        <v>108</v>
      </c>
    </row>
    <row r="61" spans="1:12" ht="15" customHeight="1" x14ac:dyDescent="0.25">
      <c r="B61" s="196"/>
      <c r="D61" s="111">
        <v>90</v>
      </c>
      <c r="E61" s="112"/>
      <c r="F61" s="113"/>
      <c r="G61" s="199">
        <f>(D61)*($J$57)</f>
        <v>117</v>
      </c>
      <c r="H61" s="199"/>
      <c r="I61" s="199"/>
      <c r="J61" s="114">
        <f>((D61)*($N$11))</f>
        <v>4410</v>
      </c>
      <c r="K61" s="112"/>
      <c r="L61" s="115">
        <f>(($J$61)-(G61)-(P27))</f>
        <v>851.80000000000018</v>
      </c>
    </row>
    <row r="62" spans="1:12" ht="15" customHeight="1" x14ac:dyDescent="0.25">
      <c r="B62" s="196"/>
      <c r="D62" s="111">
        <v>125</v>
      </c>
      <c r="E62" s="112"/>
      <c r="F62" s="113"/>
      <c r="G62" s="199">
        <f t="shared" ref="G62:G64" si="7">(D62)*($J$57)</f>
        <v>162.5</v>
      </c>
      <c r="H62" s="199"/>
      <c r="I62" s="199"/>
      <c r="J62" s="114">
        <f t="shared" ref="J62:J64" si="8">((D62)*($N$11))</f>
        <v>6125</v>
      </c>
      <c r="K62" s="112"/>
      <c r="L62" s="115">
        <f>((J62-P27)-(G62))-56</f>
        <v>2465.3000000000002</v>
      </c>
    </row>
    <row r="63" spans="1:12" ht="15" customHeight="1" x14ac:dyDescent="0.25">
      <c r="B63" s="196"/>
      <c r="D63" s="111">
        <v>160</v>
      </c>
      <c r="E63" s="112"/>
      <c r="F63" s="113"/>
      <c r="G63" s="199">
        <f t="shared" si="7"/>
        <v>208</v>
      </c>
      <c r="H63" s="199"/>
      <c r="I63" s="199"/>
      <c r="J63" s="114">
        <f t="shared" si="8"/>
        <v>7840</v>
      </c>
      <c r="K63" s="112"/>
      <c r="L63" s="115">
        <f>((J63-$P$27)-(G63)-(112))</f>
        <v>4078.8</v>
      </c>
    </row>
    <row r="64" spans="1:12" ht="15" customHeight="1" x14ac:dyDescent="0.25">
      <c r="B64" s="197"/>
      <c r="D64" s="116">
        <v>200</v>
      </c>
      <c r="E64" s="117"/>
      <c r="F64" s="118"/>
      <c r="G64" s="200">
        <f t="shared" si="7"/>
        <v>260</v>
      </c>
      <c r="H64" s="200"/>
      <c r="I64" s="200"/>
      <c r="J64" s="119">
        <f t="shared" si="8"/>
        <v>9800</v>
      </c>
      <c r="K64" s="117"/>
      <c r="L64" s="120">
        <f>((J64-$P$27)-(G64)-(112))</f>
        <v>5986.8</v>
      </c>
    </row>
  </sheetData>
  <sheetProtection sheet="1" objects="1" scenarios="1"/>
  <mergeCells count="42">
    <mergeCell ref="P19:P20"/>
    <mergeCell ref="B20:B23"/>
    <mergeCell ref="N8:N9"/>
    <mergeCell ref="R33:R34"/>
    <mergeCell ref="T33:T34"/>
    <mergeCell ref="P33:P34"/>
    <mergeCell ref="B35:B38"/>
    <mergeCell ref="B40:B43"/>
    <mergeCell ref="B45:B48"/>
    <mergeCell ref="B30:B33"/>
    <mergeCell ref="N30:O30"/>
    <mergeCell ref="N33:N34"/>
    <mergeCell ref="B60:B64"/>
    <mergeCell ref="G60:I60"/>
    <mergeCell ref="G61:I61"/>
    <mergeCell ref="G62:I62"/>
    <mergeCell ref="G63:I63"/>
    <mergeCell ref="G64:I64"/>
    <mergeCell ref="N2:Q2"/>
    <mergeCell ref="N3:Q3"/>
    <mergeCell ref="N4:Q4"/>
    <mergeCell ref="N5:Q5"/>
    <mergeCell ref="B55:B58"/>
    <mergeCell ref="B50:B53"/>
    <mergeCell ref="N24:N25"/>
    <mergeCell ref="O24:O25"/>
    <mergeCell ref="P24:P25"/>
    <mergeCell ref="B25:B28"/>
    <mergeCell ref="F11:K11"/>
    <mergeCell ref="L11:M11"/>
    <mergeCell ref="N13:P13"/>
    <mergeCell ref="B15:B18"/>
    <mergeCell ref="N19:N20"/>
    <mergeCell ref="O19:O20"/>
    <mergeCell ref="K6:M6"/>
    <mergeCell ref="K7:M7"/>
    <mergeCell ref="D9:J9"/>
    <mergeCell ref="K8:L9"/>
    <mergeCell ref="K2:M2"/>
    <mergeCell ref="K3:M3"/>
    <mergeCell ref="K4:M4"/>
    <mergeCell ref="K5:M5"/>
  </mergeCells>
  <pageMargins left="0.511811024" right="0.511811024" top="0.78740157499999996" bottom="0.78740157499999996" header="0.31496062000000002" footer="0.31496062000000002"/>
  <pageSetup paperSize="9" orientation="portrait" horizontalDpi="1200" verticalDpi="1200" r:id="rId1"/>
  <ignoredErrors>
    <ignoredError sqref="H33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64"/>
  <sheetViews>
    <sheetView topLeftCell="A11" zoomScaleNormal="100" workbookViewId="0">
      <selection activeCell="R40" sqref="R40"/>
    </sheetView>
  </sheetViews>
  <sheetFormatPr defaultRowHeight="15" x14ac:dyDescent="0.25"/>
  <cols>
    <col min="1" max="1" width="1" style="1" customWidth="1"/>
    <col min="2" max="2" width="6.7109375" style="1" customWidth="1"/>
    <col min="3" max="3" width="1" style="1" customWidth="1"/>
    <col min="4" max="4" width="17.140625" style="1" customWidth="1"/>
    <col min="5" max="5" width="2" style="1" customWidth="1"/>
    <col min="6" max="6" width="10.85546875" style="1" customWidth="1"/>
    <col min="7" max="7" width="0.85546875" style="1" customWidth="1"/>
    <col min="8" max="8" width="11.28515625" style="1" customWidth="1"/>
    <col min="9" max="9" width="0.7109375" style="1" customWidth="1"/>
    <col min="10" max="10" width="12.5703125" style="1" customWidth="1"/>
    <col min="11" max="11" width="0.7109375" style="1" customWidth="1"/>
    <col min="12" max="12" width="13" style="1" customWidth="1"/>
    <col min="13" max="13" width="0.85546875" style="1" customWidth="1"/>
    <col min="14" max="14" width="20.85546875" style="1" customWidth="1"/>
    <col min="15" max="15" width="0.5703125" style="1" customWidth="1"/>
    <col min="16" max="16" width="14.7109375" style="1" customWidth="1"/>
    <col min="17" max="17" width="0.85546875" style="1" customWidth="1"/>
    <col min="18" max="18" width="10.28515625" style="1" customWidth="1"/>
    <col min="19" max="19" width="0.85546875" style="1" customWidth="1"/>
    <col min="20" max="20" width="9.140625" style="1"/>
    <col min="21" max="21" width="10.7109375" style="1" bestFit="1" customWidth="1"/>
    <col min="22" max="16384" width="9.140625" style="1"/>
  </cols>
  <sheetData>
    <row r="2" spans="2:21" x14ac:dyDescent="0.25">
      <c r="K2" s="170"/>
      <c r="L2" s="170"/>
      <c r="M2" s="170"/>
      <c r="N2" s="172"/>
      <c r="O2" s="172"/>
      <c r="P2" s="172"/>
      <c r="Q2" s="172"/>
    </row>
    <row r="3" spans="2:21" x14ac:dyDescent="0.25">
      <c r="K3" s="170"/>
      <c r="L3" s="170"/>
      <c r="M3" s="170"/>
      <c r="N3" s="172"/>
      <c r="O3" s="172"/>
      <c r="P3" s="172"/>
      <c r="Q3" s="172"/>
    </row>
    <row r="4" spans="2:21" x14ac:dyDescent="0.25">
      <c r="K4" s="170"/>
      <c r="L4" s="170"/>
      <c r="M4" s="170"/>
      <c r="N4" s="172"/>
      <c r="O4" s="172"/>
      <c r="P4" s="172"/>
      <c r="Q4" s="172"/>
    </row>
    <row r="5" spans="2:21" x14ac:dyDescent="0.25">
      <c r="K5" s="170"/>
      <c r="L5" s="170"/>
      <c r="M5" s="170"/>
      <c r="N5" s="172"/>
      <c r="O5" s="172"/>
      <c r="P5" s="172"/>
      <c r="Q5" s="172"/>
    </row>
    <row r="6" spans="2:21" x14ac:dyDescent="0.25">
      <c r="K6" s="170"/>
      <c r="L6" s="170"/>
      <c r="M6" s="170"/>
      <c r="N6" s="135"/>
      <c r="O6" s="136"/>
      <c r="P6" s="136"/>
      <c r="Q6" s="136"/>
    </row>
    <row r="7" spans="2:21" x14ac:dyDescent="0.25">
      <c r="K7" s="170"/>
      <c r="L7" s="170"/>
      <c r="M7" s="170"/>
      <c r="N7" s="137"/>
      <c r="O7" s="136"/>
      <c r="P7" s="136"/>
      <c r="Q7" s="136"/>
    </row>
    <row r="8" spans="2:21" ht="5.25" customHeight="1" x14ac:dyDescent="0.25">
      <c r="K8" s="170"/>
      <c r="L8" s="170"/>
      <c r="M8" s="133"/>
      <c r="N8" s="208"/>
      <c r="O8" s="136"/>
      <c r="P8" s="136"/>
      <c r="Q8" s="136"/>
    </row>
    <row r="9" spans="2:21" x14ac:dyDescent="0.25">
      <c r="D9" s="131" t="s">
        <v>109</v>
      </c>
      <c r="E9" s="131"/>
      <c r="F9" s="131"/>
      <c r="G9" s="131"/>
      <c r="H9" s="131"/>
      <c r="I9" s="131"/>
      <c r="J9" s="131"/>
      <c r="K9" s="170"/>
      <c r="L9" s="170"/>
      <c r="M9" s="134"/>
      <c r="N9" s="208"/>
      <c r="O9" s="136"/>
      <c r="P9" s="136"/>
      <c r="Q9" s="136"/>
      <c r="U9" s="61"/>
    </row>
    <row r="10" spans="2:21" x14ac:dyDescent="0.25">
      <c r="U10" s="61"/>
    </row>
    <row r="11" spans="2:21" x14ac:dyDescent="0.25">
      <c r="C11" s="62"/>
      <c r="D11" s="79" t="s">
        <v>70</v>
      </c>
      <c r="E11" s="62"/>
      <c r="F11" s="188" t="s">
        <v>111</v>
      </c>
      <c r="G11" s="188"/>
      <c r="H11" s="188"/>
      <c r="I11" s="188"/>
      <c r="J11" s="188"/>
      <c r="K11" s="188"/>
      <c r="L11" s="189" t="s">
        <v>106</v>
      </c>
      <c r="M11" s="189"/>
      <c r="N11" s="102">
        <v>38</v>
      </c>
      <c r="O11" s="63"/>
      <c r="Q11" s="63"/>
      <c r="S11" s="63"/>
    </row>
    <row r="12" spans="2:21" ht="6" customHeight="1" x14ac:dyDescent="0.25"/>
    <row r="13" spans="2:21" ht="14.25" customHeight="1" x14ac:dyDescent="0.25">
      <c r="C13" s="62"/>
      <c r="D13" s="79" t="s">
        <v>71</v>
      </c>
      <c r="E13" s="62"/>
      <c r="F13" s="68" t="s">
        <v>67</v>
      </c>
      <c r="G13" s="67"/>
      <c r="H13" s="68" t="s">
        <v>90</v>
      </c>
      <c r="I13" s="67"/>
      <c r="J13" s="68" t="s">
        <v>68</v>
      </c>
      <c r="K13" s="139"/>
      <c r="L13" s="68" t="s">
        <v>69</v>
      </c>
      <c r="M13" s="62"/>
      <c r="N13" s="190" t="s">
        <v>150</v>
      </c>
      <c r="O13" s="190"/>
      <c r="P13" s="190"/>
      <c r="Q13" s="72"/>
      <c r="S13" s="78"/>
    </row>
    <row r="14" spans="2:21" ht="3" customHeight="1" x14ac:dyDescent="0.25">
      <c r="B14" s="64"/>
      <c r="K14" s="133"/>
    </row>
    <row r="15" spans="2:21" ht="15" customHeight="1" x14ac:dyDescent="0.25">
      <c r="B15" s="185" t="s">
        <v>113</v>
      </c>
      <c r="C15" s="65"/>
      <c r="D15" s="82" t="s">
        <v>72</v>
      </c>
      <c r="E15" s="83"/>
      <c r="F15" s="84">
        <v>3</v>
      </c>
      <c r="G15" s="143"/>
      <c r="H15" s="85">
        <v>1</v>
      </c>
      <c r="I15" s="143"/>
      <c r="J15" s="86">
        <v>18</v>
      </c>
      <c r="K15" s="143"/>
      <c r="L15" s="103">
        <f>((F15)*(H15)*(J15))</f>
        <v>54</v>
      </c>
      <c r="N15" s="69" t="s">
        <v>61</v>
      </c>
      <c r="O15" s="73"/>
      <c r="P15" s="121">
        <f>SUM((L15:L18))</f>
        <v>54</v>
      </c>
    </row>
    <row r="16" spans="2:21" ht="15" customHeight="1" x14ac:dyDescent="0.25">
      <c r="B16" s="186"/>
      <c r="C16" s="65"/>
      <c r="D16" s="87" t="s">
        <v>73</v>
      </c>
      <c r="E16" s="88"/>
      <c r="F16" s="89">
        <v>0</v>
      </c>
      <c r="G16" s="112"/>
      <c r="H16" s="90">
        <v>0</v>
      </c>
      <c r="I16" s="112"/>
      <c r="J16" s="91">
        <v>0</v>
      </c>
      <c r="K16" s="112"/>
      <c r="L16" s="104">
        <f t="shared" ref="L16:L33" si="0">((F16)*(H16)*(J16))</f>
        <v>0</v>
      </c>
      <c r="N16" s="70" t="s">
        <v>115</v>
      </c>
      <c r="O16" s="74"/>
      <c r="P16" s="122">
        <f>SUM((L20:L23))</f>
        <v>990.00000000000011</v>
      </c>
    </row>
    <row r="17" spans="1:16" ht="15" customHeight="1" x14ac:dyDescent="0.25">
      <c r="B17" s="186"/>
      <c r="C17" s="65"/>
      <c r="D17" s="87" t="s">
        <v>74</v>
      </c>
      <c r="E17" s="88"/>
      <c r="F17" s="89">
        <v>0</v>
      </c>
      <c r="G17" s="112"/>
      <c r="H17" s="90">
        <v>0</v>
      </c>
      <c r="I17" s="112"/>
      <c r="J17" s="91">
        <v>0</v>
      </c>
      <c r="K17" s="112"/>
      <c r="L17" s="104">
        <f t="shared" si="0"/>
        <v>0</v>
      </c>
      <c r="N17" s="70" t="s">
        <v>63</v>
      </c>
      <c r="O17" s="74"/>
      <c r="P17" s="122">
        <f>SUM((L25:L28))</f>
        <v>1645</v>
      </c>
    </row>
    <row r="18" spans="1:16" ht="15" customHeight="1" x14ac:dyDescent="0.25">
      <c r="B18" s="187"/>
      <c r="C18" s="65"/>
      <c r="D18" s="92" t="s">
        <v>75</v>
      </c>
      <c r="E18" s="93"/>
      <c r="F18" s="94">
        <v>0</v>
      </c>
      <c r="G18" s="144"/>
      <c r="H18" s="95">
        <v>0</v>
      </c>
      <c r="I18" s="144"/>
      <c r="J18" s="96">
        <v>0</v>
      </c>
      <c r="K18" s="144"/>
      <c r="L18" s="105">
        <f t="shared" si="0"/>
        <v>0</v>
      </c>
      <c r="N18" s="70" t="s">
        <v>118</v>
      </c>
      <c r="O18" s="74"/>
      <c r="P18" s="122">
        <f>SUM((L30:L33))</f>
        <v>0</v>
      </c>
    </row>
    <row r="19" spans="1:16" ht="3.75" customHeight="1" x14ac:dyDescent="0.25">
      <c r="A19" s="1" t="s">
        <v>103</v>
      </c>
      <c r="B19" s="64"/>
      <c r="C19" s="65"/>
      <c r="D19" s="65"/>
      <c r="E19" s="65"/>
      <c r="F19" s="65"/>
      <c r="G19" s="132"/>
      <c r="H19" s="66"/>
      <c r="I19" s="132"/>
      <c r="J19" s="65"/>
      <c r="K19" s="132"/>
      <c r="L19" s="65"/>
      <c r="N19" s="191" t="s">
        <v>116</v>
      </c>
      <c r="O19" s="193"/>
      <c r="P19" s="206">
        <f>SUM((L35:L38))</f>
        <v>373</v>
      </c>
    </row>
    <row r="20" spans="1:16" ht="13.5" customHeight="1" x14ac:dyDescent="0.25">
      <c r="B20" s="185" t="s">
        <v>114</v>
      </c>
      <c r="C20" s="65"/>
      <c r="D20" s="82" t="s">
        <v>122</v>
      </c>
      <c r="E20" s="83"/>
      <c r="F20" s="84">
        <v>1</v>
      </c>
      <c r="G20" s="143"/>
      <c r="H20" s="150">
        <v>2.2000000000000002</v>
      </c>
      <c r="I20" s="143"/>
      <c r="J20" s="86">
        <v>450</v>
      </c>
      <c r="K20" s="143"/>
      <c r="L20" s="103">
        <f>((F20)*(H20)*(J20))</f>
        <v>990.00000000000011</v>
      </c>
      <c r="N20" s="192"/>
      <c r="O20" s="194"/>
      <c r="P20" s="207"/>
    </row>
    <row r="21" spans="1:16" ht="15" customHeight="1" x14ac:dyDescent="0.25">
      <c r="B21" s="186"/>
      <c r="C21" s="65"/>
      <c r="D21" s="87" t="s">
        <v>123</v>
      </c>
      <c r="E21" s="88"/>
      <c r="F21" s="89">
        <v>0</v>
      </c>
      <c r="G21" s="112"/>
      <c r="H21" s="90">
        <v>0</v>
      </c>
      <c r="I21" s="112"/>
      <c r="J21" s="91">
        <v>500</v>
      </c>
      <c r="K21" s="112"/>
      <c r="L21" s="104">
        <f t="shared" ref="L21:L22" si="1">((F21)*(H21)*(J21))</f>
        <v>0</v>
      </c>
      <c r="N21" s="75" t="s">
        <v>117</v>
      </c>
      <c r="O21" s="76"/>
      <c r="P21" s="123">
        <f>SUM((L40:L43))</f>
        <v>189</v>
      </c>
    </row>
    <row r="22" spans="1:16" ht="15" customHeight="1" x14ac:dyDescent="0.25">
      <c r="B22" s="186"/>
      <c r="C22" s="65"/>
      <c r="D22" s="87" t="s">
        <v>148</v>
      </c>
      <c r="E22" s="88"/>
      <c r="F22" s="89">
        <v>0</v>
      </c>
      <c r="G22" s="112"/>
      <c r="H22" s="90">
        <v>0</v>
      </c>
      <c r="I22" s="112"/>
      <c r="J22" s="91">
        <v>480</v>
      </c>
      <c r="K22" s="112"/>
      <c r="L22" s="104">
        <f t="shared" si="1"/>
        <v>0</v>
      </c>
      <c r="N22" s="70" t="s">
        <v>91</v>
      </c>
      <c r="O22" s="74"/>
      <c r="P22" s="122">
        <f>SUM((L45:L48))</f>
        <v>210</v>
      </c>
    </row>
    <row r="23" spans="1:16" ht="15" customHeight="1" x14ac:dyDescent="0.25">
      <c r="B23" s="187"/>
      <c r="C23" s="65"/>
      <c r="D23" s="92" t="s">
        <v>125</v>
      </c>
      <c r="E23" s="93"/>
      <c r="F23" s="94">
        <v>0</v>
      </c>
      <c r="G23" s="144"/>
      <c r="H23" s="95">
        <v>0</v>
      </c>
      <c r="I23" s="144"/>
      <c r="J23" s="96">
        <v>430</v>
      </c>
      <c r="K23" s="144"/>
      <c r="L23" s="105">
        <f t="shared" ref="L23" si="2">((F23)*(H23)*(J23))</f>
        <v>0</v>
      </c>
      <c r="N23" s="70" t="s">
        <v>121</v>
      </c>
      <c r="O23" s="74"/>
      <c r="P23" s="122">
        <f>SUM((L50:L53))</f>
        <v>360</v>
      </c>
    </row>
    <row r="24" spans="1:16" ht="3.75" customHeight="1" x14ac:dyDescent="0.25">
      <c r="A24" s="1" t="s">
        <v>103</v>
      </c>
      <c r="B24" s="64"/>
      <c r="C24" s="65"/>
      <c r="D24" s="65"/>
      <c r="E24" s="65"/>
      <c r="F24" s="65"/>
      <c r="G24" s="132"/>
      <c r="H24" s="66"/>
      <c r="I24" s="132"/>
      <c r="J24" s="65"/>
      <c r="K24" s="132"/>
      <c r="L24" s="65"/>
      <c r="N24" s="179" t="s">
        <v>99</v>
      </c>
      <c r="O24" s="181"/>
      <c r="P24" s="183">
        <f>SUM((L55:L58))</f>
        <v>709.21</v>
      </c>
    </row>
    <row r="25" spans="1:16" ht="12.75" customHeight="1" x14ac:dyDescent="0.25">
      <c r="B25" s="185" t="s">
        <v>112</v>
      </c>
      <c r="C25" s="65"/>
      <c r="D25" s="82" t="s">
        <v>96</v>
      </c>
      <c r="E25" s="83"/>
      <c r="F25" s="84">
        <v>0.8</v>
      </c>
      <c r="G25" s="143"/>
      <c r="H25" s="85">
        <v>1</v>
      </c>
      <c r="I25" s="146"/>
      <c r="J25" s="86">
        <v>1700</v>
      </c>
      <c r="K25" s="146"/>
      <c r="L25" s="103">
        <f>((F25)*(H25)*(J25))</f>
        <v>1360</v>
      </c>
      <c r="N25" s="180"/>
      <c r="O25" s="182"/>
      <c r="P25" s="184"/>
    </row>
    <row r="26" spans="1:16" ht="15" customHeight="1" x14ac:dyDescent="0.25">
      <c r="B26" s="186"/>
      <c r="C26" s="65"/>
      <c r="D26" s="87" t="s">
        <v>76</v>
      </c>
      <c r="E26" s="88"/>
      <c r="F26" s="89">
        <v>0</v>
      </c>
      <c r="G26" s="112"/>
      <c r="H26" s="90">
        <v>0</v>
      </c>
      <c r="I26" s="147"/>
      <c r="J26" s="91">
        <v>0</v>
      </c>
      <c r="K26" s="147"/>
      <c r="L26" s="104">
        <f t="shared" si="0"/>
        <v>0</v>
      </c>
      <c r="N26" s="98"/>
      <c r="P26" s="97"/>
    </row>
    <row r="27" spans="1:16" ht="15" customHeight="1" x14ac:dyDescent="0.25">
      <c r="B27" s="186"/>
      <c r="C27" s="65"/>
      <c r="D27" s="87" t="s">
        <v>77</v>
      </c>
      <c r="E27" s="88"/>
      <c r="F27" s="89">
        <v>0.15</v>
      </c>
      <c r="G27" s="112"/>
      <c r="H27" s="90">
        <v>1</v>
      </c>
      <c r="I27" s="147"/>
      <c r="J27" s="91">
        <v>1900</v>
      </c>
      <c r="K27" s="147"/>
      <c r="L27" s="104">
        <f t="shared" si="0"/>
        <v>285</v>
      </c>
      <c r="N27" s="100" t="s">
        <v>119</v>
      </c>
      <c r="O27" s="101"/>
      <c r="P27" s="124">
        <f>SUM((P15:P25))</f>
        <v>4530.21</v>
      </c>
    </row>
    <row r="28" spans="1:16" ht="15" customHeight="1" x14ac:dyDescent="0.25">
      <c r="B28" s="187"/>
      <c r="C28" s="65"/>
      <c r="D28" s="92" t="s">
        <v>78</v>
      </c>
      <c r="E28" s="93"/>
      <c r="F28" s="94">
        <v>0</v>
      </c>
      <c r="G28" s="144"/>
      <c r="H28" s="95">
        <v>0</v>
      </c>
      <c r="I28" s="148"/>
      <c r="J28" s="96">
        <v>0</v>
      </c>
      <c r="K28" s="148"/>
      <c r="L28" s="105">
        <f t="shared" si="0"/>
        <v>0</v>
      </c>
      <c r="N28" s="98"/>
      <c r="P28" s="97"/>
    </row>
    <row r="29" spans="1:16" ht="3.75" customHeight="1" x14ac:dyDescent="0.25">
      <c r="A29" s="1" t="s">
        <v>103</v>
      </c>
      <c r="B29" s="64"/>
      <c r="C29" s="65"/>
      <c r="D29" s="80"/>
      <c r="E29" s="80"/>
      <c r="F29" s="80"/>
      <c r="G29" s="145"/>
      <c r="H29" s="81"/>
      <c r="I29" s="145"/>
      <c r="J29" s="80"/>
      <c r="K29" s="145"/>
      <c r="L29" s="80"/>
    </row>
    <row r="30" spans="1:16" ht="15" customHeight="1" x14ac:dyDescent="0.25">
      <c r="B30" s="201" t="s">
        <v>104</v>
      </c>
      <c r="C30" s="65"/>
      <c r="D30" s="82" t="s">
        <v>79</v>
      </c>
      <c r="E30" s="83"/>
      <c r="F30" s="84">
        <v>0</v>
      </c>
      <c r="G30" s="143"/>
      <c r="H30" s="85">
        <v>0</v>
      </c>
      <c r="I30" s="143"/>
      <c r="J30" s="86">
        <v>0</v>
      </c>
      <c r="K30" s="143"/>
      <c r="L30" s="103">
        <f>((F30)*(H30)*(J30))</f>
        <v>0</v>
      </c>
      <c r="N30" s="204"/>
      <c r="O30" s="204"/>
      <c r="P30" s="99"/>
    </row>
    <row r="31" spans="1:16" ht="15" customHeight="1" x14ac:dyDescent="0.25">
      <c r="B31" s="202"/>
      <c r="C31" s="65"/>
      <c r="D31" s="87" t="s">
        <v>80</v>
      </c>
      <c r="E31" s="88"/>
      <c r="F31" s="89">
        <v>2.2999999999999998</v>
      </c>
      <c r="G31" s="112"/>
      <c r="H31" s="90">
        <v>0</v>
      </c>
      <c r="I31" s="112"/>
      <c r="J31" s="91">
        <v>250</v>
      </c>
      <c r="K31" s="112"/>
      <c r="L31" s="104">
        <f t="shared" si="0"/>
        <v>0</v>
      </c>
    </row>
    <row r="32" spans="1:16" ht="15" customHeight="1" x14ac:dyDescent="0.25">
      <c r="B32" s="202"/>
      <c r="C32" s="65"/>
      <c r="D32" s="87" t="s">
        <v>81</v>
      </c>
      <c r="E32" s="88"/>
      <c r="F32" s="89">
        <v>0</v>
      </c>
      <c r="G32" s="112"/>
      <c r="H32" s="90">
        <v>0</v>
      </c>
      <c r="I32" s="112"/>
      <c r="J32" s="91">
        <v>0</v>
      </c>
      <c r="K32" s="112"/>
      <c r="L32" s="104">
        <f t="shared" si="0"/>
        <v>0</v>
      </c>
    </row>
    <row r="33" spans="1:20" ht="15" customHeight="1" x14ac:dyDescent="0.25">
      <c r="B33" s="203"/>
      <c r="C33" s="65"/>
      <c r="D33" s="92" t="s">
        <v>82</v>
      </c>
      <c r="E33" s="93"/>
      <c r="F33" s="94">
        <v>0</v>
      </c>
      <c r="G33" s="144"/>
      <c r="H33" s="95">
        <v>0</v>
      </c>
      <c r="I33" s="144"/>
      <c r="J33" s="96">
        <v>0</v>
      </c>
      <c r="K33" s="144"/>
      <c r="L33" s="105">
        <f t="shared" si="0"/>
        <v>0</v>
      </c>
      <c r="N33" s="205"/>
      <c r="O33" s="77"/>
      <c r="P33" s="205"/>
      <c r="Q33" s="77"/>
      <c r="R33" s="205"/>
      <c r="S33" s="77"/>
      <c r="T33" s="205"/>
    </row>
    <row r="34" spans="1:20" ht="3.75" customHeight="1" x14ac:dyDescent="0.25">
      <c r="A34" s="1" t="s">
        <v>103</v>
      </c>
      <c r="B34" s="64"/>
      <c r="C34" s="65"/>
      <c r="D34" s="80"/>
      <c r="E34" s="80"/>
      <c r="F34" s="80"/>
      <c r="G34" s="145"/>
      <c r="H34" s="81"/>
      <c r="I34" s="145"/>
      <c r="J34" s="80"/>
      <c r="K34" s="145"/>
      <c r="L34" s="80"/>
      <c r="N34" s="205"/>
      <c r="O34" s="77"/>
      <c r="P34" s="205"/>
      <c r="Q34" s="77"/>
      <c r="R34" s="205"/>
      <c r="S34" s="77"/>
      <c r="T34" s="205"/>
    </row>
    <row r="35" spans="1:20" ht="15" customHeight="1" x14ac:dyDescent="0.25">
      <c r="B35" s="201" t="s">
        <v>83</v>
      </c>
      <c r="C35" s="65"/>
      <c r="D35" s="82" t="s">
        <v>84</v>
      </c>
      <c r="E35" s="83"/>
      <c r="F35" s="84">
        <v>0.7</v>
      </c>
      <c r="G35" s="143"/>
      <c r="H35" s="85">
        <v>2</v>
      </c>
      <c r="I35" s="143"/>
      <c r="J35" s="86">
        <v>175</v>
      </c>
      <c r="K35" s="143"/>
      <c r="L35" s="103">
        <f>((F35)*(H35)*(J35))</f>
        <v>244.99999999999997</v>
      </c>
      <c r="N35" s="71"/>
    </row>
    <row r="36" spans="1:20" ht="15" customHeight="1" x14ac:dyDescent="0.25">
      <c r="B36" s="202"/>
      <c r="C36" s="65"/>
      <c r="D36" s="87" t="s">
        <v>85</v>
      </c>
      <c r="E36" s="88"/>
      <c r="F36" s="89">
        <v>0</v>
      </c>
      <c r="G36" s="112"/>
      <c r="H36" s="90">
        <v>0</v>
      </c>
      <c r="I36" s="112"/>
      <c r="J36" s="91">
        <v>0</v>
      </c>
      <c r="K36" s="112"/>
      <c r="L36" s="104">
        <f t="shared" ref="L36:L38" si="3">((F36)*(H36)*(J36))</f>
        <v>0</v>
      </c>
      <c r="N36" s="71"/>
    </row>
    <row r="37" spans="1:20" ht="15" customHeight="1" x14ac:dyDescent="0.25">
      <c r="B37" s="202"/>
      <c r="C37" s="65"/>
      <c r="D37" s="87" t="s">
        <v>87</v>
      </c>
      <c r="E37" s="88"/>
      <c r="F37" s="89">
        <v>0.4</v>
      </c>
      <c r="G37" s="112"/>
      <c r="H37" s="90">
        <v>1</v>
      </c>
      <c r="I37" s="112"/>
      <c r="J37" s="91">
        <v>320</v>
      </c>
      <c r="K37" s="112"/>
      <c r="L37" s="104">
        <f t="shared" si="3"/>
        <v>128</v>
      </c>
      <c r="N37" s="71"/>
    </row>
    <row r="38" spans="1:20" ht="15" customHeight="1" x14ac:dyDescent="0.25">
      <c r="B38" s="203"/>
      <c r="C38" s="65"/>
      <c r="D38" s="92" t="s">
        <v>86</v>
      </c>
      <c r="E38" s="93"/>
      <c r="F38" s="94">
        <v>0</v>
      </c>
      <c r="G38" s="144"/>
      <c r="H38" s="95">
        <v>0</v>
      </c>
      <c r="I38" s="144"/>
      <c r="J38" s="96">
        <v>0</v>
      </c>
      <c r="K38" s="144"/>
      <c r="L38" s="105">
        <f t="shared" si="3"/>
        <v>0</v>
      </c>
      <c r="N38" s="71"/>
    </row>
    <row r="39" spans="1:20" ht="3.75" customHeight="1" x14ac:dyDescent="0.25">
      <c r="A39" s="1" t="s">
        <v>103</v>
      </c>
      <c r="B39" s="64"/>
      <c r="C39" s="65"/>
      <c r="D39" s="80"/>
      <c r="E39" s="80"/>
      <c r="F39" s="80"/>
      <c r="G39" s="145"/>
      <c r="H39" s="81"/>
      <c r="I39" s="145"/>
      <c r="J39" s="80"/>
      <c r="K39" s="145"/>
      <c r="L39" s="80"/>
    </row>
    <row r="40" spans="1:20" ht="15" customHeight="1" x14ac:dyDescent="0.25">
      <c r="B40" s="201" t="s">
        <v>14</v>
      </c>
      <c r="C40" s="65"/>
      <c r="D40" s="82" t="s">
        <v>88</v>
      </c>
      <c r="E40" s="83"/>
      <c r="F40" s="84">
        <v>0</v>
      </c>
      <c r="G40" s="143"/>
      <c r="H40" s="85">
        <v>0</v>
      </c>
      <c r="I40" s="143"/>
      <c r="J40" s="86">
        <v>0</v>
      </c>
      <c r="K40" s="143"/>
      <c r="L40" s="103">
        <f>((F40)*(H40)*(J40))</f>
        <v>0</v>
      </c>
    </row>
    <row r="41" spans="1:20" ht="15" customHeight="1" x14ac:dyDescent="0.25">
      <c r="B41" s="202"/>
      <c r="C41" s="65"/>
      <c r="D41" s="87" t="s">
        <v>89</v>
      </c>
      <c r="E41" s="88"/>
      <c r="F41" s="89">
        <v>0.7</v>
      </c>
      <c r="G41" s="112"/>
      <c r="H41" s="90">
        <v>1</v>
      </c>
      <c r="I41" s="112"/>
      <c r="J41" s="91">
        <v>130</v>
      </c>
      <c r="K41" s="112"/>
      <c r="L41" s="104">
        <f t="shared" ref="L41:L43" si="4">((F41)*(H41)*(J41))</f>
        <v>91</v>
      </c>
    </row>
    <row r="42" spans="1:20" ht="15" customHeight="1" x14ac:dyDescent="0.25">
      <c r="B42" s="202"/>
      <c r="C42" s="65"/>
      <c r="D42" s="87" t="s">
        <v>149</v>
      </c>
      <c r="E42" s="88"/>
      <c r="F42" s="89">
        <v>0.7</v>
      </c>
      <c r="G42" s="112"/>
      <c r="H42" s="90">
        <v>1</v>
      </c>
      <c r="I42" s="112"/>
      <c r="J42" s="91">
        <v>140</v>
      </c>
      <c r="K42" s="112"/>
      <c r="L42" s="104">
        <f t="shared" si="4"/>
        <v>98</v>
      </c>
    </row>
    <row r="43" spans="1:20" ht="15" customHeight="1" x14ac:dyDescent="0.25">
      <c r="B43" s="203"/>
      <c r="C43" s="65"/>
      <c r="D43" s="92" t="s">
        <v>124</v>
      </c>
      <c r="E43" s="93"/>
      <c r="F43" s="94">
        <v>0</v>
      </c>
      <c r="G43" s="144"/>
      <c r="H43" s="95">
        <v>0</v>
      </c>
      <c r="I43" s="144"/>
      <c r="J43" s="96">
        <v>0</v>
      </c>
      <c r="K43" s="144"/>
      <c r="L43" s="105">
        <f t="shared" si="4"/>
        <v>0</v>
      </c>
    </row>
    <row r="44" spans="1:20" ht="3.75" customHeight="1" x14ac:dyDescent="0.25">
      <c r="A44" s="1" t="s">
        <v>103</v>
      </c>
      <c r="B44" s="64"/>
      <c r="C44" s="65"/>
      <c r="D44" s="80"/>
      <c r="E44" s="80"/>
      <c r="F44" s="80"/>
      <c r="G44" s="145"/>
      <c r="H44" s="81"/>
      <c r="I44" s="145"/>
      <c r="J44" s="80"/>
      <c r="K44" s="145"/>
      <c r="L44" s="80"/>
    </row>
    <row r="45" spans="1:20" ht="15" customHeight="1" x14ac:dyDescent="0.25">
      <c r="B45" s="201" t="s">
        <v>91</v>
      </c>
      <c r="C45" s="65"/>
      <c r="D45" s="82" t="s">
        <v>92</v>
      </c>
      <c r="E45" s="83"/>
      <c r="F45" s="84">
        <v>0</v>
      </c>
      <c r="G45" s="143"/>
      <c r="H45" s="85">
        <v>0</v>
      </c>
      <c r="I45" s="143"/>
      <c r="J45" s="86">
        <v>0</v>
      </c>
      <c r="K45" s="143"/>
      <c r="L45" s="103">
        <f>((F45)*(H45)*(J45))</f>
        <v>0</v>
      </c>
    </row>
    <row r="46" spans="1:20" ht="15" customHeight="1" x14ac:dyDescent="0.25">
      <c r="B46" s="202"/>
      <c r="C46" s="65"/>
      <c r="D46" s="87" t="s">
        <v>93</v>
      </c>
      <c r="E46" s="88"/>
      <c r="F46" s="89">
        <v>0</v>
      </c>
      <c r="G46" s="112"/>
      <c r="H46" s="90">
        <v>0</v>
      </c>
      <c r="I46" s="112"/>
      <c r="J46" s="91">
        <v>0</v>
      </c>
      <c r="K46" s="112"/>
      <c r="L46" s="104">
        <f t="shared" ref="L46:L48" si="5">((F46)*(H46)*(J46))</f>
        <v>0</v>
      </c>
    </row>
    <row r="47" spans="1:20" ht="15" customHeight="1" x14ac:dyDescent="0.25">
      <c r="B47" s="202"/>
      <c r="C47" s="65"/>
      <c r="D47" s="87" t="s">
        <v>94</v>
      </c>
      <c r="E47" s="88"/>
      <c r="F47" s="89">
        <v>0.7</v>
      </c>
      <c r="G47" s="112"/>
      <c r="H47" s="90">
        <v>2</v>
      </c>
      <c r="I47" s="112"/>
      <c r="J47" s="91">
        <v>150</v>
      </c>
      <c r="K47" s="112"/>
      <c r="L47" s="104">
        <f t="shared" si="5"/>
        <v>210</v>
      </c>
    </row>
    <row r="48" spans="1:20" ht="15" customHeight="1" x14ac:dyDescent="0.25">
      <c r="B48" s="203"/>
      <c r="C48" s="65"/>
      <c r="D48" s="92" t="s">
        <v>95</v>
      </c>
      <c r="E48" s="93"/>
      <c r="F48" s="94">
        <v>0</v>
      </c>
      <c r="G48" s="144"/>
      <c r="H48" s="95">
        <v>0</v>
      </c>
      <c r="I48" s="144"/>
      <c r="J48" s="96">
        <v>0</v>
      </c>
      <c r="K48" s="144"/>
      <c r="L48" s="105">
        <f t="shared" si="5"/>
        <v>0</v>
      </c>
    </row>
    <row r="49" spans="1:12" ht="3.75" customHeight="1" x14ac:dyDescent="0.25">
      <c r="A49" s="1" t="s">
        <v>103</v>
      </c>
      <c r="B49" s="64"/>
      <c r="C49" s="65"/>
      <c r="D49" s="80"/>
      <c r="E49" s="80"/>
      <c r="F49" s="80"/>
      <c r="G49" s="145"/>
      <c r="H49" s="81"/>
      <c r="I49" s="145"/>
      <c r="J49" s="80"/>
      <c r="K49" s="145"/>
      <c r="L49" s="80"/>
    </row>
    <row r="50" spans="1:12" ht="15" customHeight="1" x14ac:dyDescent="0.25">
      <c r="B50" s="176" t="s">
        <v>110</v>
      </c>
      <c r="C50" s="65"/>
      <c r="D50" s="82" t="s">
        <v>142</v>
      </c>
      <c r="E50" s="83"/>
      <c r="F50" s="84">
        <v>5</v>
      </c>
      <c r="G50" s="143"/>
      <c r="H50" s="85">
        <v>2</v>
      </c>
      <c r="I50" s="143"/>
      <c r="J50" s="86">
        <v>27</v>
      </c>
      <c r="K50" s="143"/>
      <c r="L50" s="103">
        <f>((F50)*(H50)*(J50))</f>
        <v>270</v>
      </c>
    </row>
    <row r="51" spans="1:12" ht="19.5" customHeight="1" x14ac:dyDescent="0.25">
      <c r="B51" s="177"/>
      <c r="D51" s="87" t="s">
        <v>98</v>
      </c>
      <c r="E51" s="88"/>
      <c r="F51" s="89">
        <v>0</v>
      </c>
      <c r="G51" s="112"/>
      <c r="H51" s="90">
        <v>0</v>
      </c>
      <c r="I51" s="112"/>
      <c r="J51" s="91">
        <v>0</v>
      </c>
      <c r="K51" s="112"/>
      <c r="L51" s="104">
        <f t="shared" ref="L51:L53" si="6">((F51)*(H51)*(J51))</f>
        <v>0</v>
      </c>
    </row>
    <row r="52" spans="1:12" ht="15" customHeight="1" x14ac:dyDescent="0.25">
      <c r="B52" s="177"/>
      <c r="D52" s="87" t="s">
        <v>155</v>
      </c>
      <c r="E52" s="88"/>
      <c r="F52" s="89">
        <v>6</v>
      </c>
      <c r="G52" s="112"/>
      <c r="H52" s="90">
        <v>1</v>
      </c>
      <c r="I52" s="112"/>
      <c r="J52" s="91">
        <v>15</v>
      </c>
      <c r="K52" s="112"/>
      <c r="L52" s="104">
        <f t="shared" si="6"/>
        <v>90</v>
      </c>
    </row>
    <row r="53" spans="1:12" ht="18.75" customHeight="1" x14ac:dyDescent="0.25">
      <c r="B53" s="178"/>
      <c r="D53" s="92" t="s">
        <v>97</v>
      </c>
      <c r="E53" s="93"/>
      <c r="F53" s="94">
        <v>0</v>
      </c>
      <c r="G53" s="144"/>
      <c r="H53" s="95">
        <v>0</v>
      </c>
      <c r="I53" s="144"/>
      <c r="J53" s="96">
        <v>0</v>
      </c>
      <c r="K53" s="144"/>
      <c r="L53" s="105">
        <f t="shared" si="6"/>
        <v>0</v>
      </c>
    </row>
    <row r="54" spans="1:12" ht="3.75" customHeight="1" x14ac:dyDescent="0.25">
      <c r="A54" s="1" t="s">
        <v>103</v>
      </c>
      <c r="B54" s="64"/>
      <c r="C54" s="65"/>
      <c r="D54" s="80"/>
      <c r="E54" s="80"/>
      <c r="F54" s="80"/>
      <c r="G54" s="145"/>
      <c r="H54" s="81"/>
      <c r="I54" s="145"/>
      <c r="J54" s="80"/>
      <c r="K54" s="145"/>
      <c r="L54" s="80"/>
    </row>
    <row r="55" spans="1:12" ht="15" customHeight="1" x14ac:dyDescent="0.25">
      <c r="B55" s="173" t="s">
        <v>120</v>
      </c>
      <c r="C55" s="65"/>
      <c r="D55" s="82" t="s">
        <v>100</v>
      </c>
      <c r="E55" s="83"/>
      <c r="F55" s="84">
        <v>1</v>
      </c>
      <c r="G55" s="143"/>
      <c r="H55" s="85">
        <v>3</v>
      </c>
      <c r="I55" s="143"/>
      <c r="J55" s="86">
        <v>110</v>
      </c>
      <c r="K55" s="143"/>
      <c r="L55" s="103">
        <f>((F55)*(H55)*(J55))</f>
        <v>330</v>
      </c>
    </row>
    <row r="56" spans="1:12" ht="15" customHeight="1" x14ac:dyDescent="0.25">
      <c r="B56" s="174"/>
      <c r="D56" s="87" t="s">
        <v>18</v>
      </c>
      <c r="E56" s="88"/>
      <c r="F56" s="89">
        <v>1</v>
      </c>
      <c r="G56" s="112"/>
      <c r="H56" s="90">
        <v>1</v>
      </c>
      <c r="I56" s="112"/>
      <c r="J56" s="91">
        <v>27</v>
      </c>
      <c r="K56" s="112"/>
      <c r="L56" s="104">
        <f t="shared" ref="L56:L58" si="7">((F56)*(H56)*(J56))</f>
        <v>27</v>
      </c>
    </row>
    <row r="57" spans="1:12" ht="15" customHeight="1" x14ac:dyDescent="0.25">
      <c r="B57" s="174"/>
      <c r="D57" s="87" t="s">
        <v>101</v>
      </c>
      <c r="E57" s="88"/>
      <c r="F57" s="89">
        <v>1</v>
      </c>
      <c r="G57" s="112"/>
      <c r="H57" s="151">
        <v>1.7</v>
      </c>
      <c r="I57" s="112"/>
      <c r="J57" s="91">
        <v>1.3</v>
      </c>
      <c r="K57" s="112"/>
      <c r="L57" s="104">
        <f t="shared" si="7"/>
        <v>2.21</v>
      </c>
    </row>
    <row r="58" spans="1:12" ht="15" customHeight="1" x14ac:dyDescent="0.25">
      <c r="B58" s="175"/>
      <c r="D58" s="92" t="s">
        <v>102</v>
      </c>
      <c r="E58" s="93"/>
      <c r="F58" s="94">
        <v>1</v>
      </c>
      <c r="G58" s="144"/>
      <c r="H58" s="95">
        <v>100</v>
      </c>
      <c r="I58" s="144"/>
      <c r="J58" s="96">
        <v>3.5</v>
      </c>
      <c r="K58" s="144"/>
      <c r="L58" s="105">
        <f t="shared" si="7"/>
        <v>350</v>
      </c>
    </row>
    <row r="59" spans="1:12" ht="3.75" customHeight="1" x14ac:dyDescent="0.25">
      <c r="A59" s="1" t="s">
        <v>103</v>
      </c>
      <c r="B59" s="64"/>
      <c r="C59" s="65"/>
      <c r="D59" s="80"/>
      <c r="E59" s="80"/>
      <c r="F59" s="80"/>
      <c r="G59" s="145"/>
      <c r="H59" s="81"/>
      <c r="I59" s="145"/>
      <c r="J59" s="80"/>
      <c r="K59" s="145"/>
      <c r="L59" s="80"/>
    </row>
    <row r="60" spans="1:12" ht="15" customHeight="1" x14ac:dyDescent="0.25">
      <c r="B60" s="195" t="s">
        <v>20</v>
      </c>
      <c r="D60" s="106" t="s">
        <v>143</v>
      </c>
      <c r="E60" s="107"/>
      <c r="F60" s="108"/>
      <c r="G60" s="198" t="s">
        <v>107</v>
      </c>
      <c r="H60" s="198"/>
      <c r="I60" s="198"/>
      <c r="J60" s="108" t="s">
        <v>105</v>
      </c>
      <c r="K60" s="109"/>
      <c r="L60" s="110" t="s">
        <v>108</v>
      </c>
    </row>
    <row r="61" spans="1:12" ht="15" customHeight="1" x14ac:dyDescent="0.25">
      <c r="B61" s="196"/>
      <c r="D61" s="111">
        <v>150</v>
      </c>
      <c r="E61" s="112"/>
      <c r="F61" s="113"/>
      <c r="G61" s="199">
        <f>(D61)*($J$57)</f>
        <v>195</v>
      </c>
      <c r="H61" s="199"/>
      <c r="I61" s="199"/>
      <c r="J61" s="114">
        <f>((D61)*($N$11))</f>
        <v>5700</v>
      </c>
      <c r="K61" s="112"/>
      <c r="L61" s="115">
        <f>(($J$61)-(G61)-(P27))</f>
        <v>974.79</v>
      </c>
    </row>
    <row r="62" spans="1:12" ht="15" customHeight="1" x14ac:dyDescent="0.25">
      <c r="B62" s="196"/>
      <c r="D62" s="111">
        <v>200</v>
      </c>
      <c r="E62" s="112"/>
      <c r="F62" s="113"/>
      <c r="G62" s="199">
        <f t="shared" ref="G62:G64" si="8">(D62)*($J$57)</f>
        <v>260</v>
      </c>
      <c r="H62" s="199"/>
      <c r="I62" s="199"/>
      <c r="J62" s="114">
        <f t="shared" ref="J62:J64" si="9">((D62)*($N$11))</f>
        <v>7600</v>
      </c>
      <c r="K62" s="112"/>
      <c r="L62" s="115">
        <f>((J62-P27)-(G62))-56</f>
        <v>2753.79</v>
      </c>
    </row>
    <row r="63" spans="1:12" ht="15" customHeight="1" x14ac:dyDescent="0.25">
      <c r="B63" s="196"/>
      <c r="D63" s="111">
        <v>250</v>
      </c>
      <c r="E63" s="112"/>
      <c r="F63" s="113"/>
      <c r="G63" s="199">
        <f t="shared" si="8"/>
        <v>325</v>
      </c>
      <c r="H63" s="199"/>
      <c r="I63" s="199"/>
      <c r="J63" s="114">
        <f t="shared" si="9"/>
        <v>9500</v>
      </c>
      <c r="K63" s="112"/>
      <c r="L63" s="115">
        <f>((J63-$P$27)-(G63)-(112))</f>
        <v>4532.79</v>
      </c>
    </row>
    <row r="64" spans="1:12" ht="15" customHeight="1" x14ac:dyDescent="0.25">
      <c r="B64" s="197"/>
      <c r="D64" s="116">
        <v>320</v>
      </c>
      <c r="E64" s="117"/>
      <c r="F64" s="118"/>
      <c r="G64" s="200">
        <f t="shared" si="8"/>
        <v>416</v>
      </c>
      <c r="H64" s="200"/>
      <c r="I64" s="200"/>
      <c r="J64" s="119">
        <f t="shared" si="9"/>
        <v>12160</v>
      </c>
      <c r="K64" s="117"/>
      <c r="L64" s="120">
        <f>((J64-$P$27)-(G64)-(112))</f>
        <v>7101.79</v>
      </c>
    </row>
  </sheetData>
  <sheetProtection password="CF7A" sheet="1" objects="1" scenarios="1"/>
  <mergeCells count="41">
    <mergeCell ref="R33:R34"/>
    <mergeCell ref="T33:T34"/>
    <mergeCell ref="N30:O30"/>
    <mergeCell ref="B60:B64"/>
    <mergeCell ref="F11:K11"/>
    <mergeCell ref="L11:M11"/>
    <mergeCell ref="G60:I60"/>
    <mergeCell ref="G61:I61"/>
    <mergeCell ref="G62:I62"/>
    <mergeCell ref="B35:B38"/>
    <mergeCell ref="B40:B43"/>
    <mergeCell ref="B45:B48"/>
    <mergeCell ref="B50:B53"/>
    <mergeCell ref="B55:B58"/>
    <mergeCell ref="B15:B18"/>
    <mergeCell ref="B25:B28"/>
    <mergeCell ref="B30:B33"/>
    <mergeCell ref="G63:I63"/>
    <mergeCell ref="G64:I64"/>
    <mergeCell ref="N13:P13"/>
    <mergeCell ref="N33:N34"/>
    <mergeCell ref="P33:P34"/>
    <mergeCell ref="B20:B23"/>
    <mergeCell ref="N19:N20"/>
    <mergeCell ref="O19:O20"/>
    <mergeCell ref="P19:P20"/>
    <mergeCell ref="N24:N25"/>
    <mergeCell ref="O24:O25"/>
    <mergeCell ref="P24:P25"/>
    <mergeCell ref="K2:M2"/>
    <mergeCell ref="N2:Q2"/>
    <mergeCell ref="K3:M3"/>
    <mergeCell ref="N3:Q3"/>
    <mergeCell ref="K4:M4"/>
    <mergeCell ref="N4:Q4"/>
    <mergeCell ref="K5:M5"/>
    <mergeCell ref="N5:Q5"/>
    <mergeCell ref="K6:M6"/>
    <mergeCell ref="K7:M7"/>
    <mergeCell ref="K8:L9"/>
    <mergeCell ref="N8:N9"/>
  </mergeCells>
  <pageMargins left="0.511811024" right="0.511811024" top="0.78740157499999996" bottom="0.78740157499999996" header="0.31496062000000002" footer="0.31496062000000002"/>
  <pageSetup paperSize="9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5"/>
  <sheetViews>
    <sheetView tabSelected="1" zoomScaleNormal="100" zoomScaleSheetLayoutView="100" workbookViewId="0">
      <selection activeCell="F17" sqref="F17:H17"/>
    </sheetView>
  </sheetViews>
  <sheetFormatPr defaultRowHeight="15" x14ac:dyDescent="0.25"/>
  <cols>
    <col min="1" max="1" width="3.140625" style="133" customWidth="1"/>
    <col min="2" max="2" width="12.42578125" style="133" customWidth="1"/>
    <col min="3" max="3" width="12.7109375" style="133" customWidth="1"/>
    <col min="4" max="4" width="14.7109375" style="133" customWidth="1"/>
    <col min="5" max="5" width="4.140625" style="133" customWidth="1"/>
    <col min="6" max="6" width="12.7109375" style="133" customWidth="1"/>
    <col min="7" max="7" width="9.140625" style="133"/>
    <col min="8" max="8" width="14.7109375" style="133" customWidth="1"/>
    <col min="9" max="18" width="9.140625" style="133"/>
    <col min="19" max="16384" width="9.140625" style="1"/>
  </cols>
  <sheetData>
    <row r="2" spans="2:8" x14ac:dyDescent="0.25">
      <c r="B2" s="219" t="s">
        <v>150</v>
      </c>
      <c r="C2" s="219"/>
      <c r="D2" s="219"/>
      <c r="F2" s="219" t="s">
        <v>150</v>
      </c>
      <c r="G2" s="219"/>
      <c r="H2" s="219"/>
    </row>
    <row r="3" spans="2:8" ht="16.5" customHeight="1" x14ac:dyDescent="0.25">
      <c r="B3" s="220" t="s">
        <v>130</v>
      </c>
      <c r="C3" s="220"/>
      <c r="D3" s="220"/>
      <c r="F3" s="220" t="s">
        <v>131</v>
      </c>
      <c r="G3" s="220"/>
      <c r="H3" s="220"/>
    </row>
    <row r="4" spans="2:8" ht="3" customHeight="1" x14ac:dyDescent="0.25">
      <c r="B4" s="140"/>
      <c r="C4" s="140"/>
      <c r="D4" s="140"/>
      <c r="F4" s="140"/>
      <c r="G4" s="140"/>
      <c r="H4" s="140"/>
    </row>
    <row r="5" spans="2:8" ht="15" customHeight="1" x14ac:dyDescent="0.25">
      <c r="B5" s="228" t="s">
        <v>61</v>
      </c>
      <c r="C5" s="229"/>
      <c r="D5" s="125">
        <f>'Trigo Industria'!P15</f>
        <v>54</v>
      </c>
      <c r="F5" s="226" t="s">
        <v>61</v>
      </c>
      <c r="G5" s="227"/>
      <c r="H5" s="128">
        <f>'Milho Industria'!P15</f>
        <v>54</v>
      </c>
    </row>
    <row r="6" spans="2:8" ht="15" customHeight="1" x14ac:dyDescent="0.25">
      <c r="B6" s="224" t="s">
        <v>115</v>
      </c>
      <c r="C6" s="225"/>
      <c r="D6" s="126">
        <f>'Trigo Industria'!P16</f>
        <v>486</v>
      </c>
      <c r="F6" s="213" t="s">
        <v>115</v>
      </c>
      <c r="G6" s="214"/>
      <c r="H6" s="129">
        <f>'Milho Industria'!P16</f>
        <v>990.00000000000011</v>
      </c>
    </row>
    <row r="7" spans="2:8" ht="15" customHeight="1" x14ac:dyDescent="0.25">
      <c r="B7" s="224" t="s">
        <v>63</v>
      </c>
      <c r="C7" s="225"/>
      <c r="D7" s="126">
        <f>'Trigo Industria'!P17</f>
        <v>1305</v>
      </c>
      <c r="F7" s="213" t="s">
        <v>63</v>
      </c>
      <c r="G7" s="214"/>
      <c r="H7" s="129">
        <f>'Milho Industria'!P17</f>
        <v>1645</v>
      </c>
    </row>
    <row r="8" spans="2:8" ht="15" customHeight="1" x14ac:dyDescent="0.25">
      <c r="B8" s="224" t="s">
        <v>118</v>
      </c>
      <c r="C8" s="225"/>
      <c r="D8" s="126">
        <f>'Trigo Industria'!P18</f>
        <v>89.4</v>
      </c>
      <c r="F8" s="213" t="s">
        <v>118</v>
      </c>
      <c r="G8" s="214"/>
      <c r="H8" s="129">
        <f>'Milho Industria'!P18</f>
        <v>0</v>
      </c>
    </row>
    <row r="9" spans="2:8" ht="15" customHeight="1" x14ac:dyDescent="0.25">
      <c r="B9" s="224" t="s">
        <v>116</v>
      </c>
      <c r="C9" s="225"/>
      <c r="D9" s="126">
        <f>'Trigo Industria'!P19</f>
        <v>202</v>
      </c>
      <c r="F9" s="213" t="s">
        <v>116</v>
      </c>
      <c r="G9" s="214"/>
      <c r="H9" s="129">
        <f>'Milho Industria'!P19</f>
        <v>373</v>
      </c>
    </row>
    <row r="10" spans="2:8" ht="15" customHeight="1" x14ac:dyDescent="0.25">
      <c r="B10" s="224" t="s">
        <v>117</v>
      </c>
      <c r="C10" s="225"/>
      <c r="D10" s="126">
        <f>'Trigo Industria'!P21</f>
        <v>330</v>
      </c>
      <c r="F10" s="213" t="s">
        <v>117</v>
      </c>
      <c r="G10" s="214"/>
      <c r="H10" s="129">
        <f>'Milho Industria'!P21</f>
        <v>189</v>
      </c>
    </row>
    <row r="11" spans="2:8" ht="15" customHeight="1" x14ac:dyDescent="0.25">
      <c r="B11" s="224" t="s">
        <v>91</v>
      </c>
      <c r="C11" s="225"/>
      <c r="D11" s="126">
        <f>'Trigo Industria'!P22</f>
        <v>75</v>
      </c>
      <c r="F11" s="213" t="s">
        <v>91</v>
      </c>
      <c r="G11" s="214"/>
      <c r="H11" s="129">
        <f>'Milho Industria'!P22</f>
        <v>210</v>
      </c>
    </row>
    <row r="12" spans="2:8" ht="15" customHeight="1" x14ac:dyDescent="0.25">
      <c r="B12" s="224" t="s">
        <v>121</v>
      </c>
      <c r="C12" s="225"/>
      <c r="D12" s="126">
        <f>'Trigo Industria'!P23</f>
        <v>279</v>
      </c>
      <c r="F12" s="213" t="s">
        <v>121</v>
      </c>
      <c r="G12" s="214"/>
      <c r="H12" s="129">
        <f>'Milho Industria'!P23</f>
        <v>360</v>
      </c>
    </row>
    <row r="13" spans="2:8" ht="15" customHeight="1" x14ac:dyDescent="0.25">
      <c r="B13" s="211" t="s">
        <v>99</v>
      </c>
      <c r="C13" s="212"/>
      <c r="D13" s="127">
        <f>'Trigo Industria'!P24</f>
        <v>620.79999999999995</v>
      </c>
      <c r="F13" s="215" t="s">
        <v>99</v>
      </c>
      <c r="G13" s="216"/>
      <c r="H13" s="130">
        <f>'Milho Industria'!P24</f>
        <v>709.21</v>
      </c>
    </row>
    <row r="14" spans="2:8" ht="6.75" customHeight="1" x14ac:dyDescent="0.25"/>
    <row r="15" spans="2:8" x14ac:dyDescent="0.25">
      <c r="B15" s="217" t="s">
        <v>119</v>
      </c>
      <c r="C15" s="217"/>
      <c r="D15" s="141">
        <f>SUM((D5:D13))</f>
        <v>3441.2</v>
      </c>
      <c r="F15" s="218" t="s">
        <v>119</v>
      </c>
      <c r="G15" s="218"/>
      <c r="H15" s="142">
        <f>SUM((H5:H13))</f>
        <v>4530.21</v>
      </c>
    </row>
    <row r="17" spans="2:8" x14ac:dyDescent="0.25">
      <c r="B17" s="219" t="s">
        <v>144</v>
      </c>
      <c r="C17" s="219"/>
      <c r="D17" s="219"/>
      <c r="F17" s="219" t="s">
        <v>150</v>
      </c>
      <c r="G17" s="219"/>
      <c r="H17" s="219"/>
    </row>
    <row r="18" spans="2:8" x14ac:dyDescent="0.25">
      <c r="B18" s="220" t="s">
        <v>130</v>
      </c>
      <c r="C18" s="220"/>
      <c r="D18" s="220"/>
      <c r="F18" s="220" t="s">
        <v>131</v>
      </c>
      <c r="G18" s="220"/>
      <c r="H18" s="220"/>
    </row>
    <row r="19" spans="2:8" ht="15" customHeight="1" x14ac:dyDescent="0.25">
      <c r="B19" s="221" t="s">
        <v>145</v>
      </c>
      <c r="C19" s="158">
        <f>'Trigo Industria'!D61</f>
        <v>90</v>
      </c>
      <c r="D19" s="155">
        <f>'Trigo Industria'!L61</f>
        <v>851.80000000000018</v>
      </c>
      <c r="F19" s="221" t="s">
        <v>146</v>
      </c>
      <c r="G19" s="158">
        <f>'Milho Industria'!D61</f>
        <v>150</v>
      </c>
      <c r="H19" s="152">
        <f>'Milho Industria'!L61</f>
        <v>974.79</v>
      </c>
    </row>
    <row r="20" spans="2:8" x14ac:dyDescent="0.25">
      <c r="B20" s="222"/>
      <c r="C20" s="159">
        <f>'Trigo Industria'!D62</f>
        <v>125</v>
      </c>
      <c r="D20" s="156">
        <f>'Trigo Industria'!L62</f>
        <v>2465.3000000000002</v>
      </c>
      <c r="F20" s="222"/>
      <c r="G20" s="159">
        <f>'Milho Industria'!D62</f>
        <v>200</v>
      </c>
      <c r="H20" s="153">
        <f>'Milho Industria'!L62</f>
        <v>2753.79</v>
      </c>
    </row>
    <row r="21" spans="2:8" x14ac:dyDescent="0.25">
      <c r="B21" s="222"/>
      <c r="C21" s="159">
        <f>'Trigo Industria'!D63</f>
        <v>160</v>
      </c>
      <c r="D21" s="156">
        <f>'Trigo Industria'!L63</f>
        <v>4078.8</v>
      </c>
      <c r="F21" s="222"/>
      <c r="G21" s="159">
        <f>'Milho Industria'!D63</f>
        <v>250</v>
      </c>
      <c r="H21" s="153">
        <f>'Milho Industria'!L63</f>
        <v>4532.79</v>
      </c>
    </row>
    <row r="22" spans="2:8" x14ac:dyDescent="0.25">
      <c r="B22" s="223"/>
      <c r="C22" s="160">
        <f>'Trigo Industria'!D64</f>
        <v>200</v>
      </c>
      <c r="D22" s="157">
        <f>'Trigo Industria'!L64</f>
        <v>5986.8</v>
      </c>
      <c r="F22" s="223"/>
      <c r="G22" s="160">
        <f>'Milho Industria'!D64</f>
        <v>320</v>
      </c>
      <c r="H22" s="154">
        <f>'Milho Industria'!L64</f>
        <v>7101.79</v>
      </c>
    </row>
    <row r="23" spans="2:8" x14ac:dyDescent="0.25">
      <c r="B23" s="138"/>
      <c r="C23" s="209"/>
      <c r="D23" s="209"/>
    </row>
    <row r="24" spans="2:8" x14ac:dyDescent="0.25">
      <c r="B24" s="138"/>
      <c r="C24" s="210"/>
      <c r="D24" s="210"/>
    </row>
    <row r="25" spans="2:8" x14ac:dyDescent="0.25">
      <c r="B25" s="138"/>
      <c r="C25" s="138"/>
      <c r="D25" s="134"/>
    </row>
  </sheetData>
  <sheetProtection password="CF7A" sheet="1" objects="1" scenarios="1"/>
  <mergeCells count="32">
    <mergeCell ref="F2:H2"/>
    <mergeCell ref="F3:H3"/>
    <mergeCell ref="B5:C5"/>
    <mergeCell ref="B6:C6"/>
    <mergeCell ref="B7:C7"/>
    <mergeCell ref="B2:D2"/>
    <mergeCell ref="B3:D3"/>
    <mergeCell ref="B10:C10"/>
    <mergeCell ref="B11:C11"/>
    <mergeCell ref="B12:C12"/>
    <mergeCell ref="F5:G5"/>
    <mergeCell ref="F6:G6"/>
    <mergeCell ref="F7:G7"/>
    <mergeCell ref="F8:G8"/>
    <mergeCell ref="F9:G9"/>
    <mergeCell ref="F10:G10"/>
    <mergeCell ref="B8:C8"/>
    <mergeCell ref="B9:C9"/>
    <mergeCell ref="C23:D23"/>
    <mergeCell ref="C24:D24"/>
    <mergeCell ref="B13:C13"/>
    <mergeCell ref="F11:G11"/>
    <mergeCell ref="F12:G12"/>
    <mergeCell ref="F13:G13"/>
    <mergeCell ref="B15:C15"/>
    <mergeCell ref="F15:G15"/>
    <mergeCell ref="B17:D17"/>
    <mergeCell ref="B18:D18"/>
    <mergeCell ref="F17:H17"/>
    <mergeCell ref="F18:H18"/>
    <mergeCell ref="B19:B22"/>
    <mergeCell ref="F19:F22"/>
  </mergeCells>
  <pageMargins left="0.7" right="0.7" top="0.75" bottom="0.75" header="0.3" footer="0.3"/>
  <pageSetup paperSize="9" scale="5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Plan1</vt:lpstr>
      <vt:lpstr>Trigo Industria</vt:lpstr>
      <vt:lpstr>Milho Industria</vt:lpstr>
      <vt:lpstr>Comparativo - Trigo x Milho</vt:lpstr>
      <vt:lpstr>'Comparativo - Trigo x Milho'!Area_de_impressao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TECNOFAL</cp:lastModifiedBy>
  <cp:lastPrinted>2019-02-12T12:22:32Z</cp:lastPrinted>
  <dcterms:created xsi:type="dcterms:W3CDTF">2014-01-03T18:15:33Z</dcterms:created>
  <dcterms:modified xsi:type="dcterms:W3CDTF">2020-02-13T14:54:19Z</dcterms:modified>
</cp:coreProperties>
</file>